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50\Documentos\Documentos 2026\Engenharia\PONTE RIO LIGEIRO ALTO\LICITAÇÃO\"/>
    </mc:Choice>
  </mc:AlternateContent>
  <bookViews>
    <workbookView xWindow="0" yWindow="0" windowWidth="20490" windowHeight="7050" tabRatio="641" activeTab="1"/>
  </bookViews>
  <sheets>
    <sheet name="ORÇAMENTO" sheetId="1" r:id="rId1"/>
    <sheet name="CRONOGRAMA" sheetId="2" r:id="rId2"/>
    <sheet name="DMT" sheetId="3" r:id="rId3"/>
    <sheet name="BDI" sheetId="4" r:id="rId4"/>
    <sheet name="COMP. " sheetId="5" r:id="rId5"/>
    <sheet name="Planilha1" sheetId="7" r:id="rId6"/>
  </sheets>
  <externalReferences>
    <externalReference r:id="rId7"/>
  </externalReferences>
  <definedNames>
    <definedName name="_xlnm._FilterDatabase" localSheetId="0" hidden="1">ORÇAMENTO!$B$3:$J$109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1" i="7" l="1"/>
  <c r="F130" i="7"/>
  <c r="F129" i="7"/>
  <c r="F128" i="7"/>
  <c r="F119" i="7"/>
  <c r="F118" i="7"/>
  <c r="E120" i="7" s="1"/>
  <c r="F120" i="7" s="1"/>
  <c r="F117" i="7"/>
  <c r="F116" i="7"/>
  <c r="F115" i="7"/>
  <c r="F114" i="7"/>
  <c r="F113" i="7"/>
  <c r="F104" i="7"/>
  <c r="E105" i="7" s="1"/>
  <c r="F105" i="7" s="1"/>
  <c r="F103" i="7"/>
  <c r="F102" i="7"/>
  <c r="F100" i="7"/>
  <c r="F99" i="7"/>
  <c r="F98" i="7"/>
  <c r="F97" i="7"/>
  <c r="F96" i="7"/>
  <c r="F88" i="7"/>
  <c r="E90" i="7" s="1"/>
  <c r="F82" i="7"/>
  <c r="F74" i="7"/>
  <c r="E71" i="7"/>
  <c r="F71" i="7" s="1"/>
  <c r="F70" i="7"/>
  <c r="F69" i="7"/>
  <c r="F68" i="7"/>
  <c r="F67" i="7"/>
  <c r="F66" i="7"/>
  <c r="F65" i="7"/>
  <c r="F59" i="7"/>
  <c r="F55" i="7"/>
  <c r="F54" i="7"/>
  <c r="E56" i="7" s="1"/>
  <c r="F56" i="7" s="1"/>
  <c r="F53" i="7"/>
  <c r="F52" i="7"/>
  <c r="F51" i="7"/>
  <c r="F50" i="7"/>
  <c r="F48" i="7"/>
  <c r="F47" i="7"/>
  <c r="F46" i="7"/>
  <c r="F45" i="7"/>
  <c r="F49" i="7" s="1"/>
  <c r="F39" i="7"/>
  <c r="F35" i="7"/>
  <c r="E36" i="7" s="1"/>
  <c r="F36" i="7" s="1"/>
  <c r="B35" i="7"/>
  <c r="F34" i="7"/>
  <c r="F33" i="7"/>
  <c r="F32" i="7"/>
  <c r="F31" i="7"/>
  <c r="F20" i="7"/>
  <c r="E21" i="7" s="1"/>
  <c r="F21" i="7" s="1"/>
  <c r="F19" i="7"/>
  <c r="F18" i="7"/>
  <c r="F17" i="7"/>
  <c r="F15" i="7"/>
  <c r="F14" i="7"/>
  <c r="F13" i="7"/>
  <c r="F12" i="7"/>
  <c r="F11" i="7"/>
  <c r="F10" i="7"/>
  <c r="E22" i="7" l="1"/>
  <c r="F22" i="7" s="1"/>
  <c r="E23" i="7"/>
  <c r="F23" i="7" s="1"/>
  <c r="E58" i="7"/>
  <c r="F58" i="7" s="1"/>
  <c r="E57" i="7"/>
  <c r="F57" i="7" s="1"/>
  <c r="E89" i="7"/>
  <c r="F89" i="7" s="1"/>
  <c r="F90" i="7"/>
  <c r="E106" i="7"/>
  <c r="F106" i="7" s="1"/>
  <c r="E107" i="7"/>
  <c r="F107" i="7" s="1"/>
  <c r="E72" i="7"/>
  <c r="F72" i="7" s="1"/>
  <c r="E73" i="7"/>
  <c r="F73" i="7" s="1"/>
  <c r="E37" i="7"/>
  <c r="F37" i="7" s="1"/>
  <c r="E38" i="7"/>
  <c r="F38" i="7" s="1"/>
  <c r="E122" i="7"/>
  <c r="F122" i="7" s="1"/>
  <c r="E121" i="7"/>
  <c r="F121" i="7" s="1"/>
  <c r="I13" i="1" l="1"/>
  <c r="G109" i="1" l="1"/>
  <c r="G105" i="1"/>
  <c r="G98" i="1"/>
  <c r="G99" i="1" s="1"/>
  <c r="G95" i="1"/>
  <c r="G88" i="1"/>
  <c r="G87" i="1"/>
  <c r="I88" i="1"/>
  <c r="I87" i="1"/>
  <c r="G86" i="1"/>
  <c r="G85" i="1"/>
  <c r="G83" i="1"/>
  <c r="G79" i="1"/>
  <c r="G80" i="1"/>
  <c r="G78" i="1"/>
  <c r="G75" i="1"/>
  <c r="G74" i="1"/>
  <c r="G72" i="1"/>
  <c r="G64" i="1"/>
  <c r="G63" i="1"/>
  <c r="G62" i="1"/>
  <c r="I62" i="1"/>
  <c r="G69" i="1"/>
  <c r="G65" i="1"/>
  <c r="G67" i="1" s="1"/>
  <c r="G60" i="1"/>
  <c r="G54" i="1"/>
  <c r="G55" i="1" s="1"/>
  <c r="G58" i="1"/>
  <c r="G53" i="1"/>
  <c r="G52" i="1"/>
  <c r="I52" i="1"/>
  <c r="J52" i="1" s="1"/>
  <c r="G51" i="1"/>
  <c r="G49" i="1"/>
  <c r="G50" i="1" s="1"/>
  <c r="I58" i="1"/>
  <c r="I57" i="1"/>
  <c r="I56" i="1"/>
  <c r="I55" i="1"/>
  <c r="I54" i="1"/>
  <c r="G56" i="1"/>
  <c r="I53" i="1"/>
  <c r="J53" i="1" s="1"/>
  <c r="I51" i="1"/>
  <c r="I50" i="1"/>
  <c r="I49" i="1"/>
  <c r="J49" i="1" s="1"/>
  <c r="G47" i="1"/>
  <c r="G43" i="1"/>
  <c r="G45" i="1" s="1"/>
  <c r="G42" i="1"/>
  <c r="G41" i="1"/>
  <c r="G39" i="1"/>
  <c r="G31" i="1"/>
  <c r="G32" i="1"/>
  <c r="I32" i="1"/>
  <c r="I31" i="1"/>
  <c r="G30" i="1"/>
  <c r="G33" i="1"/>
  <c r="G35" i="1" s="1"/>
  <c r="G29" i="1"/>
  <c r="G26" i="1"/>
  <c r="G25" i="1"/>
  <c r="G24" i="1"/>
  <c r="G18" i="1"/>
  <c r="J87" i="1" l="1"/>
  <c r="J32" i="1"/>
  <c r="J62" i="1"/>
  <c r="G34" i="1"/>
  <c r="J88" i="1"/>
  <c r="J51" i="1"/>
  <c r="J58" i="1"/>
  <c r="J55" i="1"/>
  <c r="J54" i="1"/>
  <c r="J50" i="1"/>
  <c r="J56" i="1"/>
  <c r="G57" i="1"/>
  <c r="J57" i="1" s="1"/>
  <c r="J31" i="1"/>
  <c r="J48" i="1" l="1"/>
  <c r="G20" i="1" l="1"/>
  <c r="G84" i="1" l="1"/>
  <c r="H35" i="5"/>
  <c r="G101" i="1"/>
  <c r="G97" i="1"/>
  <c r="I97" i="1"/>
  <c r="J97" i="1" l="1"/>
  <c r="C13" i="2" l="1"/>
  <c r="G89" i="1"/>
  <c r="I47" i="1"/>
  <c r="I46" i="1"/>
  <c r="I45" i="1"/>
  <c r="I44" i="1"/>
  <c r="I42" i="1"/>
  <c r="I43" i="1"/>
  <c r="G46" i="1"/>
  <c r="I41" i="1"/>
  <c r="J41" i="1" s="1"/>
  <c r="I40" i="1"/>
  <c r="I39" i="1"/>
  <c r="G40" i="1"/>
  <c r="I36" i="1"/>
  <c r="I35" i="1"/>
  <c r="I34" i="1"/>
  <c r="I33" i="1"/>
  <c r="I30" i="1"/>
  <c r="J30" i="1" s="1"/>
  <c r="G36" i="1"/>
  <c r="I29" i="1"/>
  <c r="J29" i="1" s="1"/>
  <c r="I28" i="1"/>
  <c r="J28" i="1" s="1"/>
  <c r="I27" i="1"/>
  <c r="J27" i="1" s="1"/>
  <c r="I26" i="1"/>
  <c r="I25" i="1"/>
  <c r="H89" i="5"/>
  <c r="H88" i="5"/>
  <c r="H87" i="5"/>
  <c r="H86" i="5"/>
  <c r="H85" i="5"/>
  <c r="H70" i="5"/>
  <c r="H71" i="5" s="1"/>
  <c r="I24" i="1"/>
  <c r="I21" i="1"/>
  <c r="J21" i="1" s="1"/>
  <c r="I20" i="1"/>
  <c r="G17" i="1"/>
  <c r="G92" i="1" l="1"/>
  <c r="G91" i="1"/>
  <c r="J42" i="1"/>
  <c r="J20" i="1"/>
  <c r="J43" i="1"/>
  <c r="J47" i="1"/>
  <c r="G44" i="1"/>
  <c r="J44" i="1" s="1"/>
  <c r="J45" i="1"/>
  <c r="J46" i="1"/>
  <c r="J35" i="1"/>
  <c r="J33" i="1"/>
  <c r="J36" i="1"/>
  <c r="J25" i="1"/>
  <c r="J39" i="1"/>
  <c r="J26" i="1"/>
  <c r="J40" i="1"/>
  <c r="J34" i="1"/>
  <c r="H90" i="5"/>
  <c r="J24" i="1"/>
  <c r="I107" i="1"/>
  <c r="J107" i="1" s="1"/>
  <c r="G90" i="1"/>
  <c r="I90" i="1"/>
  <c r="I75" i="1"/>
  <c r="I66" i="1"/>
  <c r="I106" i="1"/>
  <c r="J106" i="1" s="1"/>
  <c r="I103" i="1"/>
  <c r="J103" i="1" s="1"/>
  <c r="G100" i="1"/>
  <c r="G96" i="1"/>
  <c r="G68" i="1"/>
  <c r="J38" i="1" l="1"/>
  <c r="J23" i="1"/>
  <c r="J22" i="1" s="1"/>
  <c r="D13" i="2" s="1"/>
  <c r="E13" i="2" s="1"/>
  <c r="J90" i="1"/>
  <c r="G66" i="1"/>
  <c r="J66" i="1" s="1"/>
  <c r="I109" i="1"/>
  <c r="J109" i="1" s="1"/>
  <c r="I108" i="1"/>
  <c r="J108" i="1" s="1"/>
  <c r="I105" i="1"/>
  <c r="J105" i="1" s="1"/>
  <c r="I104" i="1"/>
  <c r="J104" i="1" s="1"/>
  <c r="I101" i="1"/>
  <c r="J101" i="1" s="1"/>
  <c r="I100" i="1"/>
  <c r="J100" i="1" s="1"/>
  <c r="I99" i="1"/>
  <c r="I98" i="1"/>
  <c r="J98" i="1" s="1"/>
  <c r="I96" i="1"/>
  <c r="J96" i="1" s="1"/>
  <c r="I95" i="1"/>
  <c r="J95" i="1" s="1"/>
  <c r="I84" i="1"/>
  <c r="J84" i="1" s="1"/>
  <c r="I85" i="1"/>
  <c r="J85" i="1" s="1"/>
  <c r="I86" i="1"/>
  <c r="J86" i="1" s="1"/>
  <c r="I89" i="1"/>
  <c r="J89" i="1" s="1"/>
  <c r="I91" i="1"/>
  <c r="J91" i="1" s="1"/>
  <c r="I92" i="1"/>
  <c r="I83" i="1"/>
  <c r="J83" i="1" s="1"/>
  <c r="I79" i="1"/>
  <c r="J79" i="1" s="1"/>
  <c r="I80" i="1"/>
  <c r="J80" i="1" s="1"/>
  <c r="I81" i="1"/>
  <c r="J81" i="1" s="1"/>
  <c r="I78" i="1"/>
  <c r="J78" i="1" s="1"/>
  <c r="I73" i="1"/>
  <c r="J73" i="1" s="1"/>
  <c r="I74" i="1"/>
  <c r="J74" i="1" s="1"/>
  <c r="J75" i="1"/>
  <c r="I76" i="1"/>
  <c r="J76" i="1" s="1"/>
  <c r="I72" i="1"/>
  <c r="J72" i="1" s="1"/>
  <c r="I63" i="1"/>
  <c r="J63" i="1" s="1"/>
  <c r="I64" i="1"/>
  <c r="J64" i="1" s="1"/>
  <c r="G61" i="1"/>
  <c r="I61" i="1"/>
  <c r="I65" i="1"/>
  <c r="I67" i="1"/>
  <c r="I68" i="1"/>
  <c r="I69" i="1"/>
  <c r="I60" i="1"/>
  <c r="I18" i="1"/>
  <c r="I14" i="1"/>
  <c r="J14" i="1" s="1"/>
  <c r="I15" i="1"/>
  <c r="J15" i="1" s="1"/>
  <c r="I16" i="1"/>
  <c r="J16" i="1" s="1"/>
  <c r="I17" i="1"/>
  <c r="I19" i="1"/>
  <c r="J19" i="1" s="1"/>
  <c r="J13" i="1"/>
  <c r="I11" i="1"/>
  <c r="J11" i="1" s="1"/>
  <c r="J10" i="1" s="1"/>
  <c r="H11" i="5"/>
  <c r="H12" i="5"/>
  <c r="H13" i="5"/>
  <c r="H10" i="5"/>
  <c r="J102" i="1" l="1"/>
  <c r="D16" i="2" s="1"/>
  <c r="J16" i="2" s="1"/>
  <c r="J77" i="1"/>
  <c r="J71" i="1"/>
  <c r="H14" i="5"/>
  <c r="D11" i="2"/>
  <c r="J99" i="1"/>
  <c r="J94" i="1" s="1"/>
  <c r="J92" i="1"/>
  <c r="J82" i="1" s="1"/>
  <c r="J67" i="1"/>
  <c r="J65" i="1"/>
  <c r="J69" i="1"/>
  <c r="J17" i="1"/>
  <c r="J12" i="1" s="1"/>
  <c r="J68" i="1"/>
  <c r="J61" i="1"/>
  <c r="J18" i="1"/>
  <c r="J60" i="1"/>
  <c r="H62" i="5"/>
  <c r="H61" i="5"/>
  <c r="H60" i="5"/>
  <c r="H59" i="5"/>
  <c r="H58" i="5"/>
  <c r="H51" i="5"/>
  <c r="H50" i="5"/>
  <c r="H49" i="5"/>
  <c r="H48" i="5"/>
  <c r="H47" i="5"/>
  <c r="F32" i="5"/>
  <c r="H32" i="5" s="1"/>
  <c r="H37" i="5"/>
  <c r="H36" i="5"/>
  <c r="H39" i="5"/>
  <c r="H38" i="5"/>
  <c r="H34" i="5"/>
  <c r="H33" i="5"/>
  <c r="H21" i="5"/>
  <c r="H22" i="5"/>
  <c r="H23" i="5"/>
  <c r="H24" i="5"/>
  <c r="H25" i="5"/>
  <c r="H20" i="5"/>
  <c r="H52" i="5" l="1"/>
  <c r="J59" i="1"/>
  <c r="J37" i="1" s="1"/>
  <c r="I11" i="2"/>
  <c r="H11" i="2"/>
  <c r="H63" i="5"/>
  <c r="J70" i="1"/>
  <c r="E11" i="2"/>
  <c r="J11" i="2"/>
  <c r="G11" i="2"/>
  <c r="F11" i="2"/>
  <c r="H40" i="5"/>
  <c r="H26" i="5"/>
  <c r="D19" i="4"/>
  <c r="D24" i="4" s="1"/>
  <c r="J9" i="1" l="1"/>
  <c r="D14" i="2"/>
  <c r="F14" i="2" s="1"/>
  <c r="D12" i="2"/>
  <c r="D15" i="2"/>
  <c r="D21" i="4"/>
  <c r="G14" i="2" l="1"/>
  <c r="I12" i="2"/>
  <c r="E12" i="2"/>
  <c r="H15" i="2"/>
  <c r="J15" i="2"/>
  <c r="I15" i="2"/>
  <c r="J12" i="2"/>
  <c r="F12" i="2"/>
  <c r="H12" i="2"/>
  <c r="G12" i="2"/>
  <c r="D17" i="2"/>
  <c r="H17" i="2" l="1"/>
  <c r="H18" i="2" s="1"/>
  <c r="I17" i="2"/>
  <c r="I18" i="2" s="1"/>
  <c r="J17" i="2"/>
  <c r="J18" i="2" s="1"/>
  <c r="G17" i="2"/>
  <c r="G18" i="2" s="1"/>
  <c r="F17" i="2"/>
  <c r="F18" i="2" s="1"/>
  <c r="E17" i="2"/>
  <c r="E18" i="2" s="1"/>
  <c r="D18" i="2" l="1"/>
</calcChain>
</file>

<file path=xl/sharedStrings.xml><?xml version="1.0" encoding="utf-8"?>
<sst xmlns="http://schemas.openxmlformats.org/spreadsheetml/2006/main" count="887" uniqueCount="362">
  <si>
    <t>PLANILHA ORÇAMENTÁRIA GLOBAL</t>
  </si>
  <si>
    <t xml:space="preserve">BDI </t>
  </si>
  <si>
    <t>DATA BASE</t>
  </si>
  <si>
    <t>km</t>
  </si>
  <si>
    <t>Item</t>
  </si>
  <si>
    <t>Código</t>
  </si>
  <si>
    <t>Banco</t>
  </si>
  <si>
    <t>Descrição</t>
  </si>
  <si>
    <t>Unid</t>
  </si>
  <si>
    <t>Quant.</t>
  </si>
  <si>
    <t>Valor Unit</t>
  </si>
  <si>
    <t>Total</t>
  </si>
  <si>
    <t>SERVIÇOS TÉCNICOS</t>
  </si>
  <si>
    <t>1.1</t>
  </si>
  <si>
    <t>SICRO3</t>
  </si>
  <si>
    <t>SERVIÇOS INICIAIS</t>
  </si>
  <si>
    <t>2.1</t>
  </si>
  <si>
    <t>2.2</t>
  </si>
  <si>
    <t>2.3</t>
  </si>
  <si>
    <t>SINAPI</t>
  </si>
  <si>
    <t>2.4</t>
  </si>
  <si>
    <t>2.6</t>
  </si>
  <si>
    <t>2.7</t>
  </si>
  <si>
    <t>INFRAESTRUTURA</t>
  </si>
  <si>
    <t>3.1</t>
  </si>
  <si>
    <t>m²</t>
  </si>
  <si>
    <t>MESOESTRUTURA</t>
  </si>
  <si>
    <t>4.1</t>
  </si>
  <si>
    <t>4.1.1</t>
  </si>
  <si>
    <t>4.1.2</t>
  </si>
  <si>
    <t>4.1.3</t>
  </si>
  <si>
    <t>4.1.4</t>
  </si>
  <si>
    <t>4.1.5</t>
  </si>
  <si>
    <t>m³</t>
  </si>
  <si>
    <t>4.2</t>
  </si>
  <si>
    <t>4.2.1</t>
  </si>
  <si>
    <t>4.2.2</t>
  </si>
  <si>
    <t>4.2.3</t>
  </si>
  <si>
    <t>4.2.4</t>
  </si>
  <si>
    <t>SUPERESTRUTURA</t>
  </si>
  <si>
    <t>5.2</t>
  </si>
  <si>
    <t>PINTURA COM TINTA ALQUÍDICA DE FUNDO E ACABAMENTO (ESMALTE SINTÉTICO GRAFITE) PULVERIZADA SOBRE SUPERFÍCIES METÁLICAS</t>
  </si>
  <si>
    <t>ACABAMENTOS E OBRAS COMPLEMENTARES</t>
  </si>
  <si>
    <t>LIMPEZA DE SUPERFÍCIE COM JATO DE ALTA PRESSÃO. AF_04/2019</t>
  </si>
  <si>
    <t>M2</t>
  </si>
  <si>
    <t>Observação: os serviços de aterro, reaterro e escavação mecânica serão executados pela Prefeitura Municipal.</t>
  </si>
  <si>
    <t>m</t>
  </si>
  <si>
    <t>Valor Unit
com BDI</t>
  </si>
  <si>
    <t>un</t>
  </si>
  <si>
    <t>M</t>
  </si>
  <si>
    <t>CHP</t>
  </si>
  <si>
    <t>H</t>
  </si>
  <si>
    <t>kg</t>
  </si>
  <si>
    <t>Carga, manobra e descarga de concreto com caminhão betoneira - carga em central de concreto de 30 m³/h e descarga livre</t>
  </si>
  <si>
    <t>t</t>
  </si>
  <si>
    <t>Transporte com caminhão betoneira - rodovia em leito natural</t>
  </si>
  <si>
    <t>tkm</t>
  </si>
  <si>
    <t>Transporte com caminhão betoneira - rodovia pavimentada</t>
  </si>
  <si>
    <t>Plataforma de trabalho em madeira apoiada no solo - altura de até 6 m - utilização de 5 vezes - confecção, instalação e retirada</t>
  </si>
  <si>
    <t>Carga, descarga e manobra de vigas pré-moldadas de até 500 kN em cavalo mecânico com dolly de 4 eixos com capacidade de 57 t</t>
  </si>
  <si>
    <t>Transporte em cavalo mecânico com dolly de 4 eixos com capacidade de 57 t - rodovia em leito natural</t>
  </si>
  <si>
    <t>Transporte em cavalo mecânico com dolly de 4 eixos com capacidade de 57 t - rodovia pavimentada</t>
  </si>
  <si>
    <t>Lançamento de viga pré-moldada de até 500 kN com utilização de guindaste</t>
  </si>
  <si>
    <t>Lançamento de pré-laje com utilização de guindauto</t>
  </si>
  <si>
    <t>Dreno de PVC D = 100 mm para OAE - fornecimento e instalação</t>
  </si>
  <si>
    <t>TOTAL</t>
  </si>
  <si>
    <t>CRONOGRAMA FÍSICO FINANCEIRO</t>
  </si>
  <si>
    <t>ITEM</t>
  </si>
  <si>
    <t xml:space="preserve">DESCRIÇÃO </t>
  </si>
  <si>
    <t>TOTAIS</t>
  </si>
  <si>
    <t>ETAPA 1</t>
  </si>
  <si>
    <t>ETAPA 2</t>
  </si>
  <si>
    <t>ETAPA 3</t>
  </si>
  <si>
    <t>ETAPA 4</t>
  </si>
  <si>
    <t>%</t>
  </si>
  <si>
    <t>DMT - Distâncias Médias de Transporte</t>
  </si>
  <si>
    <t>Transporte de concreto</t>
  </si>
  <si>
    <t>Tipo Rodovia</t>
  </si>
  <si>
    <t>Pavimentada</t>
  </si>
  <si>
    <t>Leito Natural</t>
  </si>
  <si>
    <t>DETALHAMENTO DO BDI</t>
  </si>
  <si>
    <t>Conforme legislação tributária municipal, definir estimativa de percentual da base de cálculo para o ISS:</t>
  </si>
  <si>
    <t>Sobre a base de cálculo, definir a respectiva alíquota do ISS (entre 2% e 5%)</t>
  </si>
  <si>
    <t>PARCELAS DO BDI</t>
  </si>
  <si>
    <t>VALORES PERCENTUAIS ADOTADOS</t>
  </si>
  <si>
    <t>LIMITES DAS PARCELAS DO BDI PARA OBRAS DESTE TIPO. ACÓRDÃO TCU 2622/2013</t>
  </si>
  <si>
    <t>Min.</t>
  </si>
  <si>
    <t>Med.</t>
  </si>
  <si>
    <t>Máx.</t>
  </si>
  <si>
    <t>(AC) - Administração Central</t>
  </si>
  <si>
    <t>(R) - Riscos</t>
  </si>
  <si>
    <t>(S) + (G) - Seguro e Garantia</t>
  </si>
  <si>
    <t>(DF) - Despesas Financeiras</t>
  </si>
  <si>
    <t>(L) - Lucro</t>
  </si>
  <si>
    <t>(I1) - PIS</t>
  </si>
  <si>
    <t>(I2) - COFINS</t>
  </si>
  <si>
    <t>(I2) - ISS</t>
  </si>
  <si>
    <t>(I4) - Contribuição Previdenciária)</t>
  </si>
  <si>
    <t>BDI % =</t>
  </si>
  <si>
    <t>VALOR PARA SIMPLES CONFERÊNCIA DO ENQUADRAMENTO DO BDI NOS LIMITES ESTABELECIDOS PELO ACÓRDÃO TCU 2622/2013</t>
  </si>
  <si>
    <t>BDI desconsiderando a parcela (I4) contribuição previdenciária</t>
  </si>
  <si>
    <t>DECLARAÇÕES</t>
  </si>
  <si>
    <t>DECLARO que o percentual de encargos sociais utilizados no valor da mão-de-obra do orçamento são os encargos sociais praticados pelo SINAPI e/ou SICRO.</t>
  </si>
  <si>
    <t>COMPOSIÇÃO PRÓPRIA</t>
  </si>
  <si>
    <t>CODIGO DA COMPOSICAO:</t>
  </si>
  <si>
    <t>DATA-BASE:</t>
  </si>
  <si>
    <t>DESCRICAO DA COMPOSICAO:</t>
  </si>
  <si>
    <t>UNIDADE:</t>
  </si>
  <si>
    <t>DESCRIÇÃO ITEM</t>
  </si>
  <si>
    <t>UNIDADE ITEM</t>
  </si>
  <si>
    <t>COEFICIENTE</t>
  </si>
  <si>
    <t>PRECO UNITARIO</t>
  </si>
  <si>
    <t>CUSTO TOTAL</t>
  </si>
  <si>
    <t>VALOR TOTAL</t>
  </si>
  <si>
    <t>Comprimento</t>
  </si>
  <si>
    <t>Largura</t>
  </si>
  <si>
    <t>Altura</t>
  </si>
  <si>
    <t>Quantidade</t>
  </si>
  <si>
    <t>Plataforma</t>
  </si>
  <si>
    <t>(m)</t>
  </si>
  <si>
    <t>2.5</t>
  </si>
  <si>
    <t>PREFEITURA MUNICIPAL DE FLORIANO PEIXOTO/RS</t>
  </si>
  <si>
    <t>Erechim à Floriano Peixoto/RS</t>
  </si>
  <si>
    <t>Distância média dos grandes centros (Erechim/RS, Passo Fundo/RS e Chapecó/SC) a Floriano Peixoto/RS</t>
  </si>
  <si>
    <t>Transporte vigas longarinas e das Lajes pré-moldadas</t>
  </si>
  <si>
    <t>Angelica Gasparetto Sandri</t>
  </si>
  <si>
    <t>Engenheira Civil</t>
  </si>
  <si>
    <t>CREA RS 215.874</t>
  </si>
  <si>
    <t>TOMADOR: PREFEITURA MUNICIPAL DE FLORIANO PEIXOTO/RS</t>
  </si>
  <si>
    <t>MUNICÍPIO: FLORIANO PEIXOTO/RS</t>
  </si>
  <si>
    <t>DECLARO que, de acordo com a legislação tributária do municipio de FLORIANO PEIXOTO - RS, considerando a natureza da obra  acima discriminada, para cálculo do valor de ISS a ser cobrado da empresa construtora, é aplicada a aliquota de 5% sobre o valor total da obra.</t>
  </si>
  <si>
    <t>DECLARO que o orçamento da obra foi verificado com os custos nas duas possibilidades de CONTRIBUIÇÃO PREVIDENCIÁRIA e foi adotado a modalidade SEM DESONERAÇÃO por ser a mais adequada ao Tomador PREFEITURA MUNICIPAL DE FLORIANO PEIXOTO - RS.</t>
  </si>
  <si>
    <t>COMP.01</t>
  </si>
  <si>
    <t>ADMINISTRAÇÃO DE OBRA</t>
  </si>
  <si>
    <t>unidade</t>
  </si>
  <si>
    <t>Composição:</t>
  </si>
  <si>
    <t>CÓDIGO</t>
  </si>
  <si>
    <t>SARRAFO DE MADEIRA 2,5x7 cm</t>
  </si>
  <si>
    <t>CAIBRO 7,5x7,5 cm</t>
  </si>
  <si>
    <t>M²</t>
  </si>
  <si>
    <t>KG</t>
  </si>
  <si>
    <t>CARPINTEIRO</t>
  </si>
  <si>
    <t>SERVENTE</t>
  </si>
  <si>
    <t>Composição</t>
  </si>
  <si>
    <t>ENGENHEIRO CIVIL DE OBRA PLENO COM ENCARGOS COMPLEMENTARES</t>
  </si>
  <si>
    <t>COMP.02</t>
  </si>
  <si>
    <t>PLACA DE OBRA EM CHAPA GALVANIZADA</t>
  </si>
  <si>
    <t>Insumo</t>
  </si>
  <si>
    <t>PLACA DE OBRA EM CHAPA GALVANIZADA N 22</t>
  </si>
  <si>
    <t>PREÇO DE AÇO 18x30</t>
  </si>
  <si>
    <t>COMP.03</t>
  </si>
  <si>
    <t>LONGARINA DE CONCRETO ARMADO PRÉ-MOLDADO 0,25x0,70</t>
  </si>
  <si>
    <t>FABRICAÇÃO DE FORMA PARA VIGAS, EM CHAPA DE MADEIRA COMPENSADA RESINA E= 17 MM</t>
  </si>
  <si>
    <t>CONCRETO FCK 40 MPA, TRAÇO: 1:1,6:1,9, PREPARO MECÂNICO EM BETONEIRA</t>
  </si>
  <si>
    <t>LANÇAMENTO COM USO DE BALDES, ADENSAMENTO E ACABAMENTO DE CONCRETO EM ESTRUTURAS</t>
  </si>
  <si>
    <t>M³</t>
  </si>
  <si>
    <t>COMP.04</t>
  </si>
  <si>
    <t>PLACAS TRELICADAS PRÉ-MOLDADAS PARA PONTE</t>
  </si>
  <si>
    <t>FABRICAÇÃO DE FORMA PARA LAJES, EM CHAPA DE MADEIRA COMPENSADA RESINA E= 17 MM</t>
  </si>
  <si>
    <t>TRELICA NERVURADA (ESPAÇADOR), ALTURA 120 MM, DIAMETRO DOS BANZOS INFERIORES E SUPERIOR = 6,0 MM, DIAGONAL 4,0 MM</t>
  </si>
  <si>
    <t>ARMAÇÃO DE LAJE DE ESTRUTURA CONVENCIONAL DE CONCRETO ARMADO UTILIZANDO AÇO CA - 50 DE 8,0 MM - MONTAGEM</t>
  </si>
  <si>
    <t>CONCRETO FCK 30 MPA, TRAÇO: 1:2,1:2,5, PREPARO MECÂNICO EM BETONEIRA</t>
  </si>
  <si>
    <t>GUARDA RODAS</t>
  </si>
  <si>
    <t>COMP.05</t>
  </si>
  <si>
    <t>Comp.01</t>
  </si>
  <si>
    <t>-</t>
  </si>
  <si>
    <t>Comp.02</t>
  </si>
  <si>
    <t>FORNECIMENTO E INSTALAÇÃO DE SUPORTE DE MADEIRA PARA PLACAS DE SINALIZAÇÃO, EM SOLO, COM H= DE 2,0 M E SEÇÃO DE 7,5 X 7,5 CM</t>
  </si>
  <si>
    <t>LOCACAO DE CONTAINER 2,30 X 6,00 M, ALT. 2,50 M, PARA ESCRITORIO, SEM DIVISORIAS INTERNAS E SEM SANITARIO (NAO INCLUI MOBILIZACAO/DESMOBILIZACAO)</t>
  </si>
  <si>
    <t>mês</t>
  </si>
  <si>
    <t>LOCACAO DE CONTAINER 2,30 X 6,00 M, ALT. 2,50 M, PARA ESCRITORIO, SEM DIVISORIAS INTERNAS COM SANITARIO (NAO INCLUI MOBILIZACAO/DESMOBILIZACAO)</t>
  </si>
  <si>
    <t>TxKm</t>
  </si>
  <si>
    <t xml:space="preserve">TRANSPORTE COM CAMINHÃO CARROCERIA 9T, EM VIA URBANA PAVIMENTADA, ADICIONAL PARA DMT EXCEDENTE A 30 KM </t>
  </si>
  <si>
    <t>TRANSPORTE COM CAMINHÃO CARROCERIA 9T, EM LEITO NATURAL</t>
  </si>
  <si>
    <t>GRUPO GERADOR REBOCÁVEL, POTÊNCIA 66 KVA, MOTOR A DIESEL</t>
  </si>
  <si>
    <t>MONTAGEM E DESMONTAGEM DE FÔRMA DE VIGA, ESCORAMENTO COM PONTALETE DE
MADEIRA,  EM MADEIRA SERRADA, 4 UTILIZAÇÕES</t>
  </si>
  <si>
    <t>FABRICAÇÃO DE FÔRMA PARA VIGAS, EM CHAPA DE MADEIRA COMPENSADA PLASTIFICADA, E = 18 MM</t>
  </si>
  <si>
    <t>Kg</t>
  </si>
  <si>
    <t>ARMAÇÃO DE PILAR OU VIGA DE ESTRUTURA CONVENCIONAL DE CONCRETO ARMADO UTILIZANDO AÇO CA-60 DE 16,0 MM - MONTAGEM.</t>
  </si>
  <si>
    <t>ARMAÇÃO DE PILAR OU VIGA DE ESTRUTURA CONVENCIONAL DE CONCRETO ARMADO UTILIZANDO AÇO CA-60 DE 10,0 MM - MONTAGEM.</t>
  </si>
  <si>
    <t>CONCRETAGEM FCK 30 MPA, COM USO DE BOMBA - LANÇAMENTO, ADENSAMENTO E ACABAMENTO</t>
  </si>
  <si>
    <t>VIGAS PRÉ-MOLDADAS- LONGARINAS</t>
  </si>
  <si>
    <t>Comp.03</t>
  </si>
  <si>
    <t>PLACAS PRÉ-MOLDADAS TRELIÇADAS PARA LAJE</t>
  </si>
  <si>
    <t>VIGAS TRANSVERSINAS</t>
  </si>
  <si>
    <t>ALMOXARIFE COM ENCARGOS COMPLEMENTARES</t>
  </si>
  <si>
    <t>DESENHISTA PROJETISTA COM ENCARGOS COMPLEMENTARES</t>
  </si>
  <si>
    <t>ARMAÇÃO DE PILAR OU VIGA DE ESTRUTURA CONVENCIONAL DE CONCRETO ARMADO UTILIZANDO AÇO CA-50 DE 6,3 MM - MONTAGEM</t>
  </si>
  <si>
    <t>ARMAÇÃO DE PILAR OU VIGA DE ESTRUTURA CONVENCIONAL DE CONCRETO ARMADO UTILIZANDO AÇO CA-50 DE 16,0 MM - MONTAGEM</t>
  </si>
  <si>
    <t>ARMAÇÃO DE PILAR OU VIGA DE ESTRUTURA CONVENCIONAL DE CONCRETO ARMADO UTILIZANDO AÇO CA-50 DE 12,5 MM - MONTAGEM</t>
  </si>
  <si>
    <t>ARMAÇÃO DE PILAR OU VIGA DE ESTRUTURA CONVENCIONAL DE CONCRETO ARMADO UTILIZANDO AÇO CA-50 DE 25,0 MM - MONTAGEM</t>
  </si>
  <si>
    <t>ARMAÇÃO DE PILAR OU VIGA DE ESTRUTURA CONVENCIONAL DE CONCRETO ARMADO UTILIZANDO AÇO CA-50 DE 8,0 MM - MONTAGEM</t>
  </si>
  <si>
    <t>ARMAÇÃO DE PILAR OU VIGA DE ESTRUTURA CONVENCIONAL DE CONCRETO ARMADO UTILIZANDO AÇO CA-50 DE 10,0 MM - MONTAGEM</t>
  </si>
  <si>
    <t>ARMAÇÃO DE PILAR OU VIGA DE ESTRUTURA CONVENCIONAL DE CONCRETO ARMADO UTILIZANDO AÇO CA-60 DE 8,0 MM - MONTAGEM.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</si>
  <si>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</si>
  <si>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</si>
  <si>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</si>
  <si>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</si>
  <si>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</si>
  <si>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</si>
  <si>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</si>
  <si>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</si>
  <si>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</si>
  <si>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Comp.04</t>
  </si>
  <si>
    <t>Placas treliçadas pré-moldadas para ponte</t>
  </si>
  <si>
    <t>TRANSPORTE COM CAMINHÃO CARROCERIA 9T, EM VIA URBANA PAVIMENTADA, ADICIONAL PARA DMT EXCEDENTE A 30 KM</t>
  </si>
  <si>
    <t>FABRICAÇÃO DE FÔRMA PARA LAJES, EM CHAPA DE MADEIRA COMPENSADA PLASTIFICADA, E = 18 MM</t>
  </si>
  <si>
    <t>MONTAGEM E DESMONTAGEM DE FÔRMA DE LAJE
MADEIRA,  EM MADEIRA SERRADA, 4 UTILIZAÇÕES</t>
  </si>
  <si>
    <t>ARMAÇÃO DE LAJE DE ESTRUTURA CONVENCIONAL DE CONCRETO ARMADO UTILIZANDO AÇO CA-50 DE 8,0 MM - MONTAGEM</t>
  </si>
  <si>
    <t>ARMAÇÃO DE LAJE DE ESTRUTURA CONVENCIONAL DE CONCRETO ARMADO UTILIZANDO AÇO CA-50 DE 5,0 MM - MONTAGEM</t>
  </si>
  <si>
    <t>5.1</t>
  </si>
  <si>
    <t>5.3</t>
  </si>
  <si>
    <t>5.4</t>
  </si>
  <si>
    <t>Comp.05</t>
  </si>
  <si>
    <t>Guarda rodas</t>
  </si>
  <si>
    <t>SINAPI-I</t>
  </si>
  <si>
    <t>PLACA DE SINALIZACAO EM CHAPA DE ACO NUM 16 COM PINTURA REFLETIVA</t>
  </si>
  <si>
    <t>3.1.10</t>
  </si>
  <si>
    <t>2.8</t>
  </si>
  <si>
    <t>2.9</t>
  </si>
  <si>
    <t>LOCAÇÃO CONVENCIONAL DE OBRA, UTILIZANDO GABARITO DE TÁBUAS CORRIDAS PONTALEADAS A CADA 2,00 M</t>
  </si>
  <si>
    <t>TOPOGRAFO COM ENCARGOS COMPLEMENTARES</t>
  </si>
  <si>
    <t>FUNDAÇÕES</t>
  </si>
  <si>
    <t>ESCAVAÇÃO MANUAL PARA BLOCO DE COROAMENTO OU SAPATA (INCLUINDO ESCAVAÇÃO PARA COLOCAÇÃO DE FÔRMAS</t>
  </si>
  <si>
    <t>m3</t>
  </si>
  <si>
    <t>COMP.06</t>
  </si>
  <si>
    <t>ENSECADEIRAS DE MADEIRA</t>
  </si>
  <si>
    <t>FABRICAÇÃO, MONTAGEM E DESMONTAGEM DE FÔRMA PARA BLOCO DE COROAMENTO, EM MADEIRA SERRADA, E=25 MM, 1 UTILIZAÇÃO</t>
  </si>
  <si>
    <t>COMP.07</t>
  </si>
  <si>
    <t>ENSECADEIRAS DE CONCRETO ARMADO</t>
  </si>
  <si>
    <t>TELA DE ACO SOLDADA NERVURADA, CA-60, Q-196, (3,11 KG/M2), DIAMETRO DO FIO = 5,0 MM, LARGURA = 2,45 M, ESPACAMENTO DA MALHA = 10 X 10 CM</t>
  </si>
  <si>
    <t>Comp.06</t>
  </si>
  <si>
    <t>m2</t>
  </si>
  <si>
    <t>Comp.07</t>
  </si>
  <si>
    <t>3.1.11</t>
  </si>
  <si>
    <t>3.1.12</t>
  </si>
  <si>
    <t>PILARES DE CONCRETO ARMADO</t>
  </si>
  <si>
    <t>FABRICAÇÃO DE FÔRMA PARA PILARES, EM CHAPA DE MADEIRA COMPENSADA PLASTIFICADA, E = 18 MM</t>
  </si>
  <si>
    <t>MONTAGEM E DESMONTAGEM DE FÔRMA DE VIGA, ESCORAMENTO COM PONTALETE DE
MADEIRA,  EM MADEIRA SERRADA, 2 UTILIZAÇÕES</t>
  </si>
  <si>
    <t>4.1.6</t>
  </si>
  <si>
    <t>4.1.7</t>
  </si>
  <si>
    <t>4.1.8</t>
  </si>
  <si>
    <t>4.1.9</t>
  </si>
  <si>
    <t>4.2.5</t>
  </si>
  <si>
    <t>4.2.6</t>
  </si>
  <si>
    <t>4.2.7</t>
  </si>
  <si>
    <t>4.2.8</t>
  </si>
  <si>
    <t>4.2.9</t>
  </si>
  <si>
    <t>5.1.1</t>
  </si>
  <si>
    <t>5.1.2</t>
  </si>
  <si>
    <t>5.1.3</t>
  </si>
  <si>
    <t>5.1.4</t>
  </si>
  <si>
    <t>5.1.5</t>
  </si>
  <si>
    <t>5.2.1</t>
  </si>
  <si>
    <t>5.2.2</t>
  </si>
  <si>
    <t>5.2.3</t>
  </si>
  <si>
    <t>5.2.4</t>
  </si>
  <si>
    <t>LAJE - CAPEAMENTO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</si>
  <si>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</si>
  <si>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</si>
  <si>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</si>
  <si>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</si>
  <si>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</si>
  <si>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</si>
  <si>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</si>
  <si>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</si>
  <si>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5.4.1</t>
  </si>
  <si>
    <t>5.4.2</t>
  </si>
  <si>
    <t>5.4.3</t>
  </si>
  <si>
    <t>5.4.4</t>
  </si>
  <si>
    <t>5.4.5</t>
  </si>
  <si>
    <t>5.4.6</t>
  </si>
  <si>
    <t>5.4.7</t>
  </si>
  <si>
    <t>6.1</t>
  </si>
  <si>
    <t>6.2</t>
  </si>
  <si>
    <t>6.3</t>
  </si>
  <si>
    <t>6.4</t>
  </si>
  <si>
    <t>6.5</t>
  </si>
  <si>
    <t>6.6</t>
  </si>
  <si>
    <t>6.7</t>
  </si>
  <si>
    <t>ETAPA 5</t>
  </si>
  <si>
    <t>LOCACAO DE BOMBA SUBMERSIVEL PARA DRENAGEM E ESGOTAMENTO, MOTOR ELETRICO TRIFASICO, POTENCIA DE 4 CV, DIAMETRO DE RECALQUE DE 3"</t>
  </si>
  <si>
    <t>CABECEIRAS DE CONCRETO ARMADO/CORTINAS</t>
  </si>
  <si>
    <t>ARMAÇÃO DE PILAR OU VIGA DE ESTRUTURA CONVENCIONAL DE CONCRETO ARMADO UTILIZANDO AÇO CA-60 DE 12,5 MM - MONTAGEM.</t>
  </si>
  <si>
    <t>ENCARREGADO GERAL DE OBRAS COM ENCARGOS COMPLEMENTARES</t>
  </si>
  <si>
    <t>MÊS</t>
  </si>
  <si>
    <t>OBRA: CONSTRUÇÃO DE UMA PONTE DE CONCRETO ARMADO SOBRE O RIO APUÂE, COM. RIO LIGEIRO</t>
  </si>
  <si>
    <t xml:space="preserve">CONSTRUÇÃO UMA PONTE EM CONCRETO ARMADO </t>
  </si>
  <si>
    <t>Distância de Floriano Peixoto/RS até a Ponte do Rio Apuaê</t>
  </si>
  <si>
    <t>CONSTRUÇÃO DE UMA PONTE EM CONCRETO ARMADO SOBRE O RIO APUAE, COM. RIO LIGEIRO ALTO</t>
  </si>
  <si>
    <t>CONSTRUÇÃO DE UMA PONTE EM CONCRETO SOBRE O RIO APUAÊ</t>
  </si>
  <si>
    <t>Endereço: Comunidade Rio Ligeiro Alto, interior de Floriano Peixoto/RS</t>
  </si>
  <si>
    <t>3.1.13</t>
  </si>
  <si>
    <t>VIGAS</t>
  </si>
  <si>
    <t>ARMAÇÃO DE PILAR OU VIGA DE ESTRUTURA CONVENCIONAL DE CONCRETO ARMADO UTILIZANDO AÇO CA-60 DE 20,0 MM - MONTAGEM.</t>
  </si>
  <si>
    <t>4.3</t>
  </si>
  <si>
    <t>4.3.1</t>
  </si>
  <si>
    <t>4.2.10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</si>
  <si>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</si>
  <si>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</si>
  <si>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</si>
  <si>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</si>
  <si>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</si>
  <si>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</si>
  <si>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</si>
  <si>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</si>
  <si>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</si>
  <si>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5.3.9</t>
  </si>
  <si>
    <t>5.3.10</t>
  </si>
  <si>
    <t>CONSTRUÇÃO UMA PONTE EM CONCRETO ARMADO SOBRE O RIO APUAÊ, COM. RIO LIGEIRO ALTO</t>
  </si>
  <si>
    <t>ETAPA 6</t>
  </si>
  <si>
    <t>Floriano Peixoto/RS, 03 de outubro de 2025.</t>
  </si>
  <si>
    <t>MARTELO PERFURADOR PNEUMÁTICO MANUAL, HASTE 19 X 108 MM, 11 KG - CHP DIURNO.</t>
  </si>
  <si>
    <t>Ponte sobre o Rio Apuâe - Comunidade Rio Ligeiro Alto</t>
  </si>
  <si>
    <t xml:space="preserve"> (m)</t>
  </si>
  <si>
    <t>Escavação (m³)</t>
  </si>
  <si>
    <t>Ensecadeira de madeira</t>
  </si>
  <si>
    <t>Ensecadeira de concreto</t>
  </si>
  <si>
    <t>Armação 16 mm (Kg)</t>
  </si>
  <si>
    <t>* peso/metro de 1,578 Kg</t>
  </si>
  <si>
    <t>Armação 8 mm (Kg)</t>
  </si>
  <si>
    <t>* peso/metro de 0,395 Kg</t>
  </si>
  <si>
    <t>Armação 10 mm (Kg)</t>
  </si>
  <si>
    <t>* peso/metro de 0,617 Kg</t>
  </si>
  <si>
    <t>Armação 12,5 mm (Kg)</t>
  </si>
  <si>
    <t>* peso/metro de 0,963 Kg</t>
  </si>
  <si>
    <t>Concreto (m³)</t>
  </si>
  <si>
    <t>Carga e Descarga (T)</t>
  </si>
  <si>
    <t>* peso de 2,5 t/m³</t>
  </si>
  <si>
    <t>Trasnporte rodovia natural</t>
  </si>
  <si>
    <t>*DMT de 24 Km</t>
  </si>
  <si>
    <t>Trasnporte rodovia pav</t>
  </si>
  <si>
    <t>*DMT de 48 Km</t>
  </si>
  <si>
    <t>PILARES</t>
  </si>
  <si>
    <t>Fabricação de forma (m²)</t>
  </si>
  <si>
    <t>Montagem de forma (m²)</t>
  </si>
  <si>
    <t>Armação 6,3 mm (Kg)</t>
  </si>
  <si>
    <t>* peso/metro de 0,245 Kg</t>
  </si>
  <si>
    <t>Armação 20 mm (Kg)</t>
  </si>
  <si>
    <t>* peso/metro de 2,466 Kg</t>
  </si>
  <si>
    <t>CABECEIRAS</t>
  </si>
  <si>
    <t>VIGAS PRÉ MOLDADAS/LONGARINAS</t>
  </si>
  <si>
    <t>Longarinas</t>
  </si>
  <si>
    <t>PLACAS PARA LAJE</t>
  </si>
  <si>
    <t>Placas treliçadas (m²)</t>
  </si>
  <si>
    <t>Transporte rodovia pav</t>
  </si>
  <si>
    <t>*Peso de 100 Kg/m² e DMT 70 Km</t>
  </si>
  <si>
    <t>* peso/metro de 0,6395 Kg</t>
  </si>
  <si>
    <t>Armação 5 mm (Kg)</t>
  </si>
  <si>
    <t>* peso/metro de 0,155 Kg</t>
  </si>
  <si>
    <t>Armação de 12,5 mm (Kg)</t>
  </si>
  <si>
    <t>Armação de 10,0 mm (Kg)</t>
  </si>
  <si>
    <t>Armação 8  mm (Kg)</t>
  </si>
  <si>
    <t>ACABAMENTOS</t>
  </si>
  <si>
    <t>Guarda rodas (m)</t>
  </si>
  <si>
    <t>Guarda corpo (m)</t>
  </si>
  <si>
    <t>Pintura (m²)</t>
  </si>
  <si>
    <t>Limpeza (m²)</t>
  </si>
  <si>
    <t>Floriano Peixoto/RS, 14 de outubro de 2025.</t>
  </si>
  <si>
    <t>Floriano Peixoto/RS, 24 de julho de 2026.</t>
  </si>
  <si>
    <t>Ponte sobre o Rio Apuaê 36,00 x 7,00 m</t>
  </si>
  <si>
    <t>GUARDA-CORPO DE AÇO GALVANIZADO COMPLEMENTAR À ALVENARIA, 0,65 M DE ALTURA, MONTANTES TUBULARES DE 1 1/4" ESPAÇADOS DE 1,80 M, TRAVESSA SUPERIOR DE 1 1/2", GRADIL FORMADO POR TUBOS HORIZONTAIS DE 1" E VERTICAIS DE 3/4", FIXADO COM ADESIVO ESTRUTURAL EPÓXI. AF_10/2025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</si>
</sst>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0.0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sz val="12.5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b/>
      <sz val="8"/>
      <color indexed="8"/>
      <name val="Arial"/>
      <family val="2"/>
    </font>
    <font>
      <b/>
      <sz val="11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rgb="FFCDCDCD"/>
      </left>
      <right style="thin">
        <color rgb="FFCDCDCD"/>
      </right>
      <top style="thin">
        <color rgb="FFCDCDCD"/>
      </top>
      <bottom style="thin">
        <color rgb="FFCDCDCD"/>
      </bottom>
      <diagonal/>
    </border>
    <border>
      <left style="thin">
        <color rgb="FFCDCDCD"/>
      </left>
      <right/>
      <top style="thin">
        <color rgb="FFCDCDCD"/>
      </top>
      <bottom style="thin">
        <color rgb="FFCDCDCD"/>
      </bottom>
      <diagonal/>
    </border>
    <border>
      <left/>
      <right/>
      <top style="thin">
        <color rgb="FFCDCDCD"/>
      </top>
      <bottom style="thin">
        <color rgb="FFCDCDCD"/>
      </bottom>
      <diagonal/>
    </border>
    <border>
      <left/>
      <right style="thin">
        <color rgb="FFCDCDCD"/>
      </right>
      <top style="thin">
        <color rgb="FFCDCDCD"/>
      </top>
      <bottom style="thin">
        <color rgb="FFCDCDCD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DCDCD"/>
      </left>
      <right style="thin">
        <color rgb="FFCDCDCD"/>
      </right>
      <top/>
      <bottom style="thin">
        <color rgb="FFCDCDCD"/>
      </bottom>
      <diagonal/>
    </border>
    <border>
      <left style="thin">
        <color rgb="FFCDCDCD"/>
      </left>
      <right style="thin">
        <color rgb="FFCDCDCD"/>
      </right>
      <top style="thin">
        <color rgb="FFCDCDCD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11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3" fillId="0" borderId="0"/>
  </cellStyleXfs>
  <cellXfs count="238">
    <xf numFmtId="0" fontId="0" fillId="0" borderId="0" xfId="0"/>
    <xf numFmtId="0" fontId="8" fillId="0" borderId="0" xfId="3" applyFont="1" applyAlignment="1">
      <alignment horizontal="left" vertical="top"/>
    </xf>
    <xf numFmtId="0" fontId="10" fillId="0" borderId="0" xfId="3" applyFont="1" applyAlignment="1">
      <alignment horizontal="left" vertical="top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left" vertical="center"/>
    </xf>
    <xf numFmtId="43" fontId="8" fillId="0" borderId="0" xfId="4" applyFont="1" applyFill="1" applyBorder="1" applyAlignment="1">
      <alignment horizontal="center" vertical="center"/>
    </xf>
    <xf numFmtId="44" fontId="8" fillId="0" borderId="0" xfId="5" applyFont="1" applyFill="1" applyBorder="1" applyAlignment="1">
      <alignment horizontal="left" vertical="center"/>
    </xf>
    <xf numFmtId="44" fontId="7" fillId="0" borderId="4" xfId="5" applyFont="1" applyFill="1" applyBorder="1" applyAlignment="1">
      <alignment horizontal="center" vertical="center"/>
    </xf>
    <xf numFmtId="10" fontId="7" fillId="0" borderId="4" xfId="6" applyNumberFormat="1" applyFont="1" applyFill="1" applyBorder="1" applyAlignment="1">
      <alignment horizontal="center" vertical="center"/>
    </xf>
    <xf numFmtId="17" fontId="7" fillId="0" borderId="4" xfId="6" quotePrefix="1" applyNumberFormat="1" applyFont="1" applyFill="1" applyBorder="1" applyAlignment="1">
      <alignment horizontal="center" vertical="center"/>
    </xf>
    <xf numFmtId="44" fontId="8" fillId="0" borderId="0" xfId="5" applyFont="1" applyFill="1" applyBorder="1" applyAlignment="1">
      <alignment horizontal="left" vertical="center" wrapText="1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10" xfId="0" applyFont="1" applyBorder="1"/>
    <xf numFmtId="0" fontId="14" fillId="0" borderId="0" xfId="0" applyFont="1"/>
    <xf numFmtId="0" fontId="15" fillId="0" borderId="0" xfId="0" applyFont="1"/>
    <xf numFmtId="0" fontId="4" fillId="2" borderId="0" xfId="7" applyFont="1" applyFill="1" applyAlignment="1">
      <alignment horizontal="left" vertical="center"/>
    </xf>
    <xf numFmtId="0" fontId="4" fillId="0" borderId="0" xfId="7" applyFont="1" applyAlignment="1">
      <alignment horizontal="left" vertical="top"/>
    </xf>
    <xf numFmtId="0" fontId="4" fillId="0" borderId="1" xfId="7" applyFont="1" applyBorder="1" applyAlignment="1">
      <alignment horizontal="left" vertical="top"/>
    </xf>
    <xf numFmtId="0" fontId="4" fillId="0" borderId="2" xfId="7" applyFont="1" applyBorder="1" applyAlignment="1">
      <alignment horizontal="left" vertical="top"/>
    </xf>
    <xf numFmtId="10" fontId="3" fillId="0" borderId="4" xfId="9" applyNumberFormat="1" applyFont="1" applyFill="1" applyBorder="1" applyAlignment="1">
      <alignment horizontal="center" vertical="top"/>
    </xf>
    <xf numFmtId="0" fontId="4" fillId="0" borderId="4" xfId="7" applyFont="1" applyBorder="1" applyAlignment="1">
      <alignment horizontal="center" vertical="top"/>
    </xf>
    <xf numFmtId="10" fontId="4" fillId="0" borderId="0" xfId="9" applyNumberFormat="1" applyFont="1" applyFill="1" applyBorder="1" applyAlignment="1">
      <alignment horizontal="center" vertical="top"/>
    </xf>
    <xf numFmtId="0" fontId="4" fillId="0" borderId="0" xfId="7" applyFont="1" applyAlignment="1">
      <alignment horizontal="left" vertical="center" wrapText="1"/>
    </xf>
    <xf numFmtId="0" fontId="4" fillId="0" borderId="4" xfId="7" applyFont="1" applyBorder="1" applyAlignment="1">
      <alignment horizontal="center" vertical="center"/>
    </xf>
    <xf numFmtId="0" fontId="3" fillId="0" borderId="0" xfId="7" applyFont="1" applyAlignment="1">
      <alignment horizontal="left" vertical="top"/>
    </xf>
    <xf numFmtId="0" fontId="8" fillId="0" borderId="0" xfId="0" applyFont="1" applyAlignment="1">
      <alignment horizontal="right"/>
    </xf>
    <xf numFmtId="0" fontId="17" fillId="0" borderId="0" xfId="0" applyFont="1"/>
    <xf numFmtId="0" fontId="18" fillId="0" borderId="0" xfId="0" applyFont="1"/>
    <xf numFmtId="0" fontId="7" fillId="0" borderId="0" xfId="0" applyFont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44" fontId="18" fillId="0" borderId="0" xfId="1" applyFont="1" applyFill="1"/>
    <xf numFmtId="0" fontId="6" fillId="0" borderId="1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3" applyFont="1" applyAlignment="1">
      <alignment vertical="center"/>
    </xf>
    <xf numFmtId="0" fontId="17" fillId="2" borderId="0" xfId="0" applyFont="1" applyFill="1"/>
    <xf numFmtId="2" fontId="19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2" fontId="19" fillId="2" borderId="0" xfId="10" applyNumberFormat="1" applyFont="1" applyFill="1" applyAlignment="1">
      <alignment horizontal="center" vertical="center"/>
    </xf>
    <xf numFmtId="2" fontId="17" fillId="2" borderId="0" xfId="0" applyNumberFormat="1" applyFont="1" applyFill="1"/>
    <xf numFmtId="2" fontId="19" fillId="2" borderId="0" xfId="12" applyNumberFormat="1" applyFont="1" applyFill="1" applyBorder="1" applyAlignment="1">
      <alignment horizontal="center" vertical="center"/>
    </xf>
    <xf numFmtId="2" fontId="19" fillId="2" borderId="4" xfId="13" applyNumberFormat="1" applyFont="1" applyFill="1" applyBorder="1" applyAlignment="1">
      <alignment horizontal="center" vertical="center"/>
    </xf>
    <xf numFmtId="2" fontId="19" fillId="2" borderId="0" xfId="10" applyNumberFormat="1" applyFont="1" applyFill="1" applyAlignment="1">
      <alignment horizontal="left" vertical="center"/>
    </xf>
    <xf numFmtId="2" fontId="19" fillId="2" borderId="0" xfId="10" applyNumberFormat="1" applyFont="1" applyFill="1" applyAlignment="1">
      <alignment horizontal="center" vertical="center" wrapText="1"/>
    </xf>
    <xf numFmtId="2" fontId="20" fillId="2" borderId="0" xfId="10" applyNumberFormat="1" applyFont="1" applyFill="1" applyAlignment="1">
      <alignment horizontal="center" vertical="center"/>
    </xf>
    <xf numFmtId="0" fontId="4" fillId="0" borderId="0" xfId="7" applyFont="1" applyAlignment="1">
      <alignment horizontal="center" vertical="top"/>
    </xf>
    <xf numFmtId="0" fontId="4" fillId="0" borderId="0" xfId="7" applyFont="1" applyAlignment="1">
      <alignment vertical="top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4" fillId="0" borderId="0" xfId="7" applyFont="1" applyAlignment="1">
      <alignment horizontal="center" vertical="top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right"/>
    </xf>
    <xf numFmtId="0" fontId="8" fillId="0" borderId="0" xfId="7" applyFont="1" applyBorder="1" applyAlignment="1">
      <alignment vertical="top"/>
    </xf>
    <xf numFmtId="0" fontId="17" fillId="0" borderId="0" xfId="0" applyFont="1" applyBorder="1"/>
    <xf numFmtId="4" fontId="26" fillId="0" borderId="0" xfId="14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14" fontId="26" fillId="0" borderId="0" xfId="14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14" fontId="26" fillId="3" borderId="0" xfId="14" applyNumberFormat="1" applyFont="1" applyFill="1" applyBorder="1" applyAlignment="1">
      <alignment horizontal="center" vertical="center" wrapText="1"/>
    </xf>
    <xf numFmtId="4" fontId="24" fillId="3" borderId="0" xfId="14" applyNumberFormat="1" applyFont="1" applyFill="1" applyBorder="1" applyAlignment="1">
      <alignment horizontal="center" vertical="center" wrapText="1"/>
    </xf>
    <xf numFmtId="0" fontId="17" fillId="2" borderId="0" xfId="0" applyFont="1" applyFill="1" applyBorder="1"/>
    <xf numFmtId="0" fontId="18" fillId="2" borderId="0" xfId="0" applyFont="1" applyFill="1" applyBorder="1"/>
    <xf numFmtId="4" fontId="24" fillId="4" borderId="0" xfId="14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wrapText="1"/>
    </xf>
    <xf numFmtId="14" fontId="24" fillId="4" borderId="0" xfId="14" applyNumberFormat="1" applyFont="1" applyFill="1" applyBorder="1" applyAlignment="1">
      <alignment horizontal="center" vertical="center" wrapText="1"/>
    </xf>
    <xf numFmtId="4" fontId="26" fillId="2" borderId="0" xfId="14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wrapText="1"/>
    </xf>
    <xf numFmtId="14" fontId="26" fillId="2" borderId="0" xfId="14" applyNumberFormat="1" applyFont="1" applyFill="1" applyBorder="1" applyAlignment="1">
      <alignment horizontal="center" vertical="center" wrapText="1"/>
    </xf>
    <xf numFmtId="14" fontId="26" fillId="4" borderId="0" xfId="14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4" fillId="0" borderId="0" xfId="7" applyFont="1" applyAlignment="1">
      <alignment horizontal="center" vertical="top"/>
    </xf>
    <xf numFmtId="0" fontId="8" fillId="0" borderId="0" xfId="0" applyFont="1" applyAlignment="1">
      <alignment horizontal="right"/>
    </xf>
    <xf numFmtId="0" fontId="4" fillId="0" borderId="0" xfId="7" applyFont="1" applyAlignment="1">
      <alignment horizontal="center" vertical="top"/>
    </xf>
    <xf numFmtId="0" fontId="7" fillId="0" borderId="0" xfId="0" applyFont="1" applyAlignment="1">
      <alignment horizontal="left" vertical="center"/>
    </xf>
    <xf numFmtId="44" fontId="7" fillId="0" borderId="4" xfId="5" applyFont="1" applyFill="1" applyBorder="1" applyAlignment="1">
      <alignment horizontal="left" vertical="center"/>
    </xf>
    <xf numFmtId="44" fontId="18" fillId="0" borderId="0" xfId="0" applyNumberFormat="1" applyFont="1"/>
    <xf numFmtId="0" fontId="16" fillId="2" borderId="0" xfId="0" applyFont="1" applyFill="1" applyBorder="1" applyAlignment="1">
      <alignment horizontal="center"/>
    </xf>
    <xf numFmtId="44" fontId="7" fillId="2" borderId="0" xfId="1" applyFont="1" applyFill="1" applyBorder="1" applyAlignment="1">
      <alignment horizontal="right" vertical="center"/>
    </xf>
    <xf numFmtId="0" fontId="4" fillId="0" borderId="0" xfId="7" applyFont="1" applyAlignment="1">
      <alignment horizontal="center" vertical="top"/>
    </xf>
    <xf numFmtId="0" fontId="7" fillId="0" borderId="0" xfId="0" applyFont="1" applyAlignment="1">
      <alignment horizontal="left" vertical="center"/>
    </xf>
    <xf numFmtId="2" fontId="19" fillId="2" borderId="17" xfId="10" applyNumberFormat="1" applyFont="1" applyFill="1" applyBorder="1" applyAlignment="1">
      <alignment horizontal="center" vertical="center"/>
    </xf>
    <xf numFmtId="2" fontId="19" fillId="2" borderId="18" xfId="10" applyNumberFormat="1" applyFont="1" applyFill="1" applyBorder="1" applyAlignment="1">
      <alignment horizontal="center" vertical="center"/>
    </xf>
    <xf numFmtId="2" fontId="19" fillId="2" borderId="17" xfId="10" applyNumberFormat="1" applyFont="1" applyFill="1" applyBorder="1" applyAlignment="1">
      <alignment horizontal="center" vertical="center" wrapText="1"/>
    </xf>
    <xf numFmtId="2" fontId="19" fillId="2" borderId="18" xfId="10" applyNumberFormat="1" applyFont="1" applyFill="1" applyBorder="1" applyAlignment="1">
      <alignment horizontal="center" vertical="center" wrapText="1"/>
    </xf>
    <xf numFmtId="2" fontId="19" fillId="2" borderId="4" xfId="10" applyNumberFormat="1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wrapText="1"/>
    </xf>
    <xf numFmtId="43" fontId="7" fillId="5" borderId="6" xfId="4" applyFont="1" applyFill="1" applyBorder="1" applyAlignment="1">
      <alignment horizontal="center" vertical="center" wrapText="1"/>
    </xf>
    <xf numFmtId="44" fontId="7" fillId="5" borderId="6" xfId="5" applyFont="1" applyFill="1" applyBorder="1" applyAlignment="1">
      <alignment horizontal="left" vertical="center" wrapText="1"/>
    </xf>
    <xf numFmtId="44" fontId="7" fillId="5" borderId="7" xfId="5" applyFont="1" applyFill="1" applyBorder="1" applyAlignment="1">
      <alignment horizontal="left" vertical="center" wrapText="1"/>
    </xf>
    <xf numFmtId="44" fontId="7" fillId="5" borderId="6" xfId="5" applyFont="1" applyFill="1" applyBorder="1" applyAlignment="1">
      <alignment horizontal="center" vertical="center" wrapText="1"/>
    </xf>
    <xf numFmtId="44" fontId="22" fillId="5" borderId="6" xfId="5" applyFont="1" applyFill="1" applyBorder="1" applyAlignment="1">
      <alignment horizontal="left" vertical="center" shrinkToFit="1"/>
    </xf>
    <xf numFmtId="0" fontId="7" fillId="6" borderId="6" xfId="3" applyFont="1" applyFill="1" applyBorder="1" applyAlignment="1">
      <alignment horizontal="left" vertical="center" wrapText="1"/>
    </xf>
    <xf numFmtId="0" fontId="7" fillId="6" borderId="6" xfId="3" applyFont="1" applyFill="1" applyBorder="1" applyAlignment="1">
      <alignment horizontal="center" vertical="center" wrapText="1"/>
    </xf>
    <xf numFmtId="43" fontId="8" fillId="6" borderId="6" xfId="4" applyFont="1" applyFill="1" applyBorder="1" applyAlignment="1">
      <alignment horizontal="center" vertical="center" wrapText="1"/>
    </xf>
    <xf numFmtId="44" fontId="8" fillId="6" borderId="6" xfId="5" applyFont="1" applyFill="1" applyBorder="1" applyAlignment="1">
      <alignment horizontal="left" vertical="center" wrapText="1"/>
    </xf>
    <xf numFmtId="44" fontId="8" fillId="6" borderId="7" xfId="5" applyFont="1" applyFill="1" applyBorder="1" applyAlignment="1">
      <alignment horizontal="left" vertical="center" wrapText="1"/>
    </xf>
    <xf numFmtId="44" fontId="7" fillId="6" borderId="6" xfId="5" applyFont="1" applyFill="1" applyBorder="1" applyAlignment="1">
      <alignment horizontal="left" vertical="center" shrinkToFit="1"/>
    </xf>
    <xf numFmtId="164" fontId="8" fillId="6" borderId="6" xfId="3" applyNumberFormat="1" applyFont="1" applyFill="1" applyBorder="1" applyAlignment="1">
      <alignment horizontal="left" vertical="top" shrinkToFit="1"/>
    </xf>
    <xf numFmtId="1" fontId="8" fillId="6" borderId="6" xfId="3" applyNumberFormat="1" applyFont="1" applyFill="1" applyBorder="1" applyAlignment="1">
      <alignment horizontal="center" vertical="top" shrinkToFit="1"/>
    </xf>
    <xf numFmtId="0" fontId="8" fillId="6" borderId="6" xfId="3" applyFont="1" applyFill="1" applyBorder="1" applyAlignment="1">
      <alignment horizontal="center" vertical="top" wrapText="1"/>
    </xf>
    <xf numFmtId="0" fontId="8" fillId="6" borderId="6" xfId="3" applyFont="1" applyFill="1" applyBorder="1" applyAlignment="1">
      <alignment horizontal="left" vertical="center" wrapText="1"/>
    </xf>
    <xf numFmtId="43" fontId="8" fillId="6" borderId="6" xfId="4" applyFont="1" applyFill="1" applyBorder="1" applyAlignment="1">
      <alignment horizontal="center" vertical="center" shrinkToFit="1"/>
    </xf>
    <xf numFmtId="44" fontId="8" fillId="6" borderId="6" xfId="5" applyFont="1" applyFill="1" applyBorder="1" applyAlignment="1">
      <alignment horizontal="left" vertical="center" shrinkToFit="1"/>
    </xf>
    <xf numFmtId="44" fontId="8" fillId="6" borderId="7" xfId="5" applyFont="1" applyFill="1" applyBorder="1" applyAlignment="1">
      <alignment horizontal="left" vertical="center" shrinkToFit="1"/>
    </xf>
    <xf numFmtId="0" fontId="7" fillId="6" borderId="21" xfId="3" applyFont="1" applyFill="1" applyBorder="1" applyAlignment="1">
      <alignment horizontal="left" vertical="center" wrapText="1"/>
    </xf>
    <xf numFmtId="0" fontId="8" fillId="6" borderId="20" xfId="3" applyFont="1" applyFill="1" applyBorder="1" applyAlignment="1">
      <alignment horizontal="left" vertical="center" wrapText="1"/>
    </xf>
    <xf numFmtId="164" fontId="7" fillId="6" borderId="6" xfId="3" applyNumberFormat="1" applyFont="1" applyFill="1" applyBorder="1" applyAlignment="1">
      <alignment horizontal="left" vertical="top" shrinkToFit="1"/>
    </xf>
    <xf numFmtId="43" fontId="7" fillId="6" borderId="6" xfId="4" applyFont="1" applyFill="1" applyBorder="1" applyAlignment="1">
      <alignment horizontal="center" vertical="center" wrapText="1"/>
    </xf>
    <xf numFmtId="44" fontId="7" fillId="6" borderId="6" xfId="5" applyFont="1" applyFill="1" applyBorder="1" applyAlignment="1">
      <alignment horizontal="left" vertical="center" wrapText="1"/>
    </xf>
    <xf numFmtId="44" fontId="7" fillId="6" borderId="7" xfId="5" applyFont="1" applyFill="1" applyBorder="1" applyAlignment="1">
      <alignment horizontal="left" vertical="center" wrapText="1"/>
    </xf>
    <xf numFmtId="43" fontId="9" fillId="6" borderId="6" xfId="4" applyFont="1" applyFill="1" applyBorder="1" applyAlignment="1">
      <alignment horizontal="center" vertical="center" wrapText="1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>
      <alignment horizontal="center" vertical="center"/>
    </xf>
    <xf numFmtId="4" fontId="13" fillId="5" borderId="4" xfId="0" applyNumberFormat="1" applyFont="1" applyFill="1" applyBorder="1" applyAlignment="1" applyProtection="1">
      <alignment horizontal="center" vertical="center"/>
      <protection locked="0"/>
    </xf>
    <xf numFmtId="44" fontId="13" fillId="5" borderId="4" xfId="1" applyFont="1" applyFill="1" applyBorder="1" applyAlignment="1">
      <alignment horizontal="center" vertical="center"/>
    </xf>
    <xf numFmtId="0" fontId="13" fillId="6" borderId="4" xfId="0" applyFont="1" applyFill="1" applyBorder="1" applyAlignment="1" applyProtection="1">
      <alignment horizontal="center" vertical="center"/>
      <protection locked="0"/>
    </xf>
    <xf numFmtId="0" fontId="13" fillId="6" borderId="4" xfId="0" applyFont="1" applyFill="1" applyBorder="1" applyAlignment="1" applyProtection="1">
      <alignment horizontal="left" vertical="center"/>
      <protection locked="0"/>
    </xf>
    <xf numFmtId="44" fontId="13" fillId="6" borderId="4" xfId="1" applyFont="1" applyFill="1" applyBorder="1" applyAlignment="1" applyProtection="1">
      <alignment horizontal="right" vertical="center"/>
      <protection locked="0"/>
    </xf>
    <xf numFmtId="44" fontId="21" fillId="6" borderId="4" xfId="1" applyFont="1" applyFill="1" applyBorder="1" applyAlignment="1" applyProtection="1">
      <alignment horizontal="right" vertical="center"/>
      <protection locked="0"/>
    </xf>
    <xf numFmtId="0" fontId="13" fillId="6" borderId="4" xfId="8" applyFont="1" applyFill="1" applyBorder="1" applyAlignment="1">
      <alignment horizontal="center" vertical="center"/>
    </xf>
    <xf numFmtId="44" fontId="13" fillId="6" borderId="4" xfId="0" applyNumberFormat="1" applyFont="1" applyFill="1" applyBorder="1" applyAlignment="1" applyProtection="1">
      <alignment horizontal="left" vertical="center"/>
      <protection locked="0"/>
    </xf>
    <xf numFmtId="0" fontId="13" fillId="6" borderId="4" xfId="0" applyFont="1" applyFill="1" applyBorder="1" applyAlignment="1" applyProtection="1">
      <alignment vertical="center"/>
      <protection locked="0"/>
    </xf>
    <xf numFmtId="0" fontId="21" fillId="5" borderId="4" xfId="0" applyFont="1" applyFill="1" applyBorder="1" applyAlignment="1">
      <alignment horizontal="center" vertical="center"/>
    </xf>
    <xf numFmtId="44" fontId="13" fillId="5" borderId="4" xfId="1" applyFont="1" applyFill="1" applyBorder="1" applyAlignment="1" applyProtection="1">
      <alignment horizontal="right" vertical="center"/>
      <protection locked="0"/>
    </xf>
    <xf numFmtId="10" fontId="13" fillId="5" borderId="4" xfId="2" applyNumberFormat="1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>
      <alignment horizontal="right" vertical="center"/>
    </xf>
    <xf numFmtId="0" fontId="7" fillId="5" borderId="4" xfId="0" applyFont="1" applyFill="1" applyBorder="1" applyAlignment="1">
      <alignment horizontal="left"/>
    </xf>
    <xf numFmtId="0" fontId="7" fillId="5" borderId="4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 wrapText="1"/>
    </xf>
    <xf numFmtId="0" fontId="3" fillId="5" borderId="4" xfId="7" applyFont="1" applyFill="1" applyBorder="1" applyAlignment="1">
      <alignment horizontal="center" vertical="top"/>
    </xf>
    <xf numFmtId="0" fontId="8" fillId="6" borderId="15" xfId="7" applyFont="1" applyFill="1" applyBorder="1" applyAlignment="1">
      <alignment horizontal="left" vertical="center"/>
    </xf>
    <xf numFmtId="0" fontId="4" fillId="6" borderId="10" xfId="7" applyFont="1" applyFill="1" applyBorder="1" applyAlignment="1">
      <alignment horizontal="left" vertical="center"/>
    </xf>
    <xf numFmtId="0" fontId="8" fillId="6" borderId="10" xfId="7" applyFont="1" applyFill="1" applyBorder="1" applyAlignment="1">
      <alignment horizontal="left" vertical="center"/>
    </xf>
    <xf numFmtId="0" fontId="4" fillId="6" borderId="10" xfId="7" applyFont="1" applyFill="1" applyBorder="1" applyAlignment="1">
      <alignment horizontal="left" vertical="top"/>
    </xf>
    <xf numFmtId="0" fontId="4" fillId="6" borderId="16" xfId="7" applyFont="1" applyFill="1" applyBorder="1" applyAlignment="1">
      <alignment horizontal="left" vertical="top"/>
    </xf>
    <xf numFmtId="0" fontId="12" fillId="5" borderId="4" xfId="0" applyFont="1" applyFill="1" applyBorder="1" applyAlignment="1">
      <alignment horizontal="left"/>
    </xf>
    <xf numFmtId="0" fontId="16" fillId="5" borderId="4" xfId="0" applyFont="1" applyFill="1" applyBorder="1" applyAlignment="1">
      <alignment horizontal="right"/>
    </xf>
    <xf numFmtId="0" fontId="12" fillId="5" borderId="4" xfId="0" applyFont="1" applyFill="1" applyBorder="1"/>
    <xf numFmtId="0" fontId="16" fillId="5" borderId="4" xfId="0" applyFont="1" applyFill="1" applyBorder="1" applyAlignment="1">
      <alignment horizontal="center"/>
    </xf>
    <xf numFmtId="44" fontId="7" fillId="5" borderId="4" xfId="1" applyFont="1" applyFill="1" applyBorder="1" applyAlignment="1">
      <alignment horizontal="right" vertical="center"/>
    </xf>
    <xf numFmtId="0" fontId="16" fillId="5" borderId="18" xfId="0" applyFont="1" applyFill="1" applyBorder="1" applyAlignment="1">
      <alignment horizontal="center"/>
    </xf>
    <xf numFmtId="44" fontId="7" fillId="5" borderId="18" xfId="1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left" vertical="center" wrapText="1"/>
    </xf>
    <xf numFmtId="165" fontId="8" fillId="6" borderId="4" xfId="0" applyNumberFormat="1" applyFont="1" applyFill="1" applyBorder="1" applyAlignment="1">
      <alignment horizontal="left" vertical="center"/>
    </xf>
    <xf numFmtId="44" fontId="8" fillId="6" borderId="4" xfId="1" applyFont="1" applyFill="1" applyBorder="1" applyAlignment="1">
      <alignment horizontal="right" vertical="center"/>
    </xf>
    <xf numFmtId="2" fontId="19" fillId="2" borderId="0" xfId="10" applyNumberFormat="1" applyFont="1" applyFill="1" applyBorder="1" applyAlignment="1">
      <alignment horizontal="left" vertical="center"/>
    </xf>
    <xf numFmtId="2" fontId="19" fillId="2" borderId="0" xfId="0" applyNumberFormat="1" applyFont="1" applyFill="1" applyBorder="1" applyAlignment="1">
      <alignment horizontal="left" vertical="center"/>
    </xf>
    <xf numFmtId="2" fontId="19" fillId="2" borderId="0" xfId="0" applyNumberFormat="1" applyFont="1" applyFill="1" applyAlignment="1">
      <alignment horizontal="left" vertical="center"/>
    </xf>
    <xf numFmtId="2" fontId="19" fillId="2" borderId="0" xfId="0" applyNumberFormat="1" applyFont="1" applyFill="1" applyBorder="1" applyAlignment="1">
      <alignment horizontal="center" vertical="center"/>
    </xf>
    <xf numFmtId="2" fontId="19" fillId="2" borderId="12" xfId="0" applyNumberFormat="1" applyFont="1" applyFill="1" applyBorder="1" applyAlignment="1">
      <alignment horizontal="left" vertical="center"/>
    </xf>
    <xf numFmtId="2" fontId="19" fillId="2" borderId="19" xfId="10" applyNumberFormat="1" applyFont="1" applyFill="1" applyBorder="1" applyAlignment="1">
      <alignment horizontal="center" vertical="center"/>
    </xf>
    <xf numFmtId="2" fontId="19" fillId="2" borderId="0" xfId="10" applyNumberFormat="1" applyFont="1" applyFill="1" applyBorder="1" applyAlignment="1">
      <alignment horizontal="center" vertical="center"/>
    </xf>
    <xf numFmtId="2" fontId="19" fillId="2" borderId="0" xfId="13" applyNumberFormat="1" applyFont="1" applyFill="1" applyBorder="1" applyAlignment="1">
      <alignment horizontal="center" vertical="center"/>
    </xf>
    <xf numFmtId="2" fontId="19" fillId="2" borderId="0" xfId="10" applyNumberFormat="1" applyFont="1" applyFill="1" applyBorder="1" applyAlignment="1">
      <alignment horizontal="center" vertical="center" wrapText="1"/>
    </xf>
    <xf numFmtId="2" fontId="1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8" fillId="0" borderId="0" xfId="7" applyFont="1" applyBorder="1" applyAlignment="1">
      <alignment horizontal="center" vertical="top"/>
    </xf>
    <xf numFmtId="0" fontId="8" fillId="0" borderId="0" xfId="7" applyFont="1" applyAlignment="1">
      <alignment horizontal="center" vertical="top"/>
    </xf>
    <xf numFmtId="0" fontId="7" fillId="5" borderId="22" xfId="3" applyFont="1" applyFill="1" applyBorder="1" applyAlignment="1">
      <alignment horizontal="center" vertical="top"/>
    </xf>
    <xf numFmtId="0" fontId="22" fillId="5" borderId="7" xfId="3" applyFont="1" applyFill="1" applyBorder="1" applyAlignment="1">
      <alignment horizontal="right" vertical="top" wrapText="1"/>
    </xf>
    <xf numFmtId="0" fontId="22" fillId="5" borderId="8" xfId="3" applyFont="1" applyFill="1" applyBorder="1" applyAlignment="1">
      <alignment horizontal="right" vertical="top" wrapText="1"/>
    </xf>
    <xf numFmtId="0" fontId="22" fillId="5" borderId="9" xfId="3" applyFont="1" applyFill="1" applyBorder="1" applyAlignment="1">
      <alignment horizontal="right" vertical="top" wrapText="1"/>
    </xf>
    <xf numFmtId="0" fontId="4" fillId="0" borderId="0" xfId="7" applyFont="1" applyAlignment="1">
      <alignment horizontal="center" vertical="top"/>
    </xf>
    <xf numFmtId="0" fontId="7" fillId="0" borderId="0" xfId="0" applyFont="1" applyAlignment="1">
      <alignment horizontal="left" vertical="center"/>
    </xf>
    <xf numFmtId="0" fontId="7" fillId="5" borderId="4" xfId="0" applyFont="1" applyFill="1" applyBorder="1" applyAlignment="1">
      <alignment horizontal="center"/>
    </xf>
    <xf numFmtId="0" fontId="7" fillId="5" borderId="4" xfId="0" applyFont="1" applyFill="1" applyBorder="1" applyAlignment="1" applyProtection="1">
      <alignment horizontal="left" vertical="top"/>
      <protection locked="0"/>
    </xf>
    <xf numFmtId="0" fontId="7" fillId="5" borderId="4" xfId="0" applyFont="1" applyFill="1" applyBorder="1" applyAlignment="1">
      <alignment horizontal="center" vertical="center"/>
    </xf>
    <xf numFmtId="2" fontId="7" fillId="5" borderId="4" xfId="0" applyNumberFormat="1" applyFont="1" applyFill="1" applyBorder="1" applyAlignment="1">
      <alignment horizontal="center" vertical="center" wrapText="1"/>
    </xf>
    <xf numFmtId="2" fontId="7" fillId="5" borderId="4" xfId="0" applyNumberFormat="1" applyFont="1" applyFill="1" applyBorder="1" applyAlignment="1">
      <alignment horizontal="left"/>
    </xf>
    <xf numFmtId="0" fontId="4" fillId="0" borderId="11" xfId="7" applyFont="1" applyBorder="1" applyAlignment="1">
      <alignment horizontal="center" vertical="top"/>
    </xf>
    <xf numFmtId="0" fontId="7" fillId="5" borderId="4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left"/>
    </xf>
    <xf numFmtId="0" fontId="7" fillId="5" borderId="4" xfId="0" applyFont="1" applyFill="1" applyBorder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4" fillId="0" borderId="4" xfId="7" applyFont="1" applyBorder="1" applyAlignment="1">
      <alignment horizontal="left" vertical="top"/>
    </xf>
    <xf numFmtId="10" fontId="4" fillId="0" borderId="4" xfId="9" applyNumberFormat="1" applyFont="1" applyFill="1" applyBorder="1" applyAlignment="1">
      <alignment horizontal="center" vertical="top"/>
    </xf>
    <xf numFmtId="0" fontId="8" fillId="6" borderId="13" xfId="7" applyFont="1" applyFill="1" applyBorder="1" applyAlignment="1">
      <alignment horizontal="left" vertical="center"/>
    </xf>
    <xf numFmtId="0" fontId="8" fillId="6" borderId="11" xfId="7" applyFont="1" applyFill="1" applyBorder="1" applyAlignment="1">
      <alignment horizontal="left" vertical="center"/>
    </xf>
    <xf numFmtId="0" fontId="8" fillId="6" borderId="14" xfId="7" applyFont="1" applyFill="1" applyBorder="1" applyAlignment="1">
      <alignment horizontal="left" vertical="center"/>
    </xf>
    <xf numFmtId="0" fontId="16" fillId="5" borderId="1" xfId="7" applyFont="1" applyFill="1" applyBorder="1" applyAlignment="1">
      <alignment horizontal="center" vertical="center" wrapText="1"/>
    </xf>
    <xf numFmtId="0" fontId="16" fillId="5" borderId="2" xfId="7" applyFont="1" applyFill="1" applyBorder="1" applyAlignment="1">
      <alignment horizontal="center" vertical="center" wrapText="1"/>
    </xf>
    <xf numFmtId="0" fontId="16" fillId="5" borderId="3" xfId="7" applyFont="1" applyFill="1" applyBorder="1" applyAlignment="1">
      <alignment horizontal="center" vertical="center" wrapText="1"/>
    </xf>
    <xf numFmtId="0" fontId="8" fillId="6" borderId="12" xfId="7" applyFont="1" applyFill="1" applyBorder="1" applyAlignment="1">
      <alignment horizontal="left" vertical="center" wrapText="1"/>
    </xf>
    <xf numFmtId="0" fontId="8" fillId="6" borderId="0" xfId="7" applyFont="1" applyFill="1" applyAlignment="1">
      <alignment horizontal="left" vertical="center" wrapText="1"/>
    </xf>
    <xf numFmtId="0" fontId="8" fillId="6" borderId="5" xfId="7" applyFont="1" applyFill="1" applyBorder="1" applyAlignment="1">
      <alignment horizontal="left" vertical="center" wrapText="1"/>
    </xf>
    <xf numFmtId="0" fontId="3" fillId="5" borderId="4" xfId="7" applyFont="1" applyFill="1" applyBorder="1" applyAlignment="1">
      <alignment horizontal="center" vertical="center"/>
    </xf>
    <xf numFmtId="0" fontId="3" fillId="5" borderId="4" xfId="7" applyFont="1" applyFill="1" applyBorder="1" applyAlignment="1">
      <alignment horizontal="center" vertical="center" wrapText="1"/>
    </xf>
    <xf numFmtId="0" fontId="3" fillId="5" borderId="4" xfId="7" applyFont="1" applyFill="1" applyBorder="1" applyAlignment="1">
      <alignment horizontal="center" vertical="top" wrapText="1"/>
    </xf>
    <xf numFmtId="0" fontId="4" fillId="0" borderId="12" xfId="7" applyFont="1" applyBorder="1" applyAlignment="1">
      <alignment horizontal="left" vertical="top" wrapText="1"/>
    </xf>
    <xf numFmtId="0" fontId="4" fillId="0" borderId="0" xfId="7" applyFont="1" applyAlignment="1">
      <alignment horizontal="left" vertical="top" wrapText="1"/>
    </xf>
    <xf numFmtId="0" fontId="4" fillId="0" borderId="5" xfId="7" applyFont="1" applyBorder="1" applyAlignment="1">
      <alignment horizontal="left" vertical="top" wrapText="1"/>
    </xf>
    <xf numFmtId="10" fontId="3" fillId="5" borderId="4" xfId="9" applyNumberFormat="1" applyFont="1" applyFill="1" applyBorder="1" applyAlignment="1">
      <alignment horizontal="center" vertical="center"/>
    </xf>
    <xf numFmtId="0" fontId="4" fillId="0" borderId="4" xfId="7" applyFont="1" applyBorder="1" applyAlignment="1">
      <alignment horizontal="left" vertical="center" wrapText="1"/>
    </xf>
    <xf numFmtId="10" fontId="3" fillId="0" borderId="4" xfId="9" applyNumberFormat="1" applyFont="1" applyFill="1" applyBorder="1" applyAlignment="1">
      <alignment horizontal="center" vertical="center"/>
    </xf>
    <xf numFmtId="0" fontId="4" fillId="0" borderId="13" xfId="7" applyFont="1" applyBorder="1" applyAlignment="1">
      <alignment horizontal="left" vertical="top" wrapText="1"/>
    </xf>
    <xf numFmtId="0" fontId="4" fillId="0" borderId="11" xfId="7" applyFont="1" applyBorder="1" applyAlignment="1">
      <alignment horizontal="left" vertical="top" wrapText="1"/>
    </xf>
    <xf numFmtId="0" fontId="4" fillId="0" borderId="14" xfId="7" applyFont="1" applyBorder="1" applyAlignment="1">
      <alignment horizontal="left" vertical="top" wrapText="1"/>
    </xf>
    <xf numFmtId="0" fontId="4" fillId="0" borderId="15" xfId="7" applyFont="1" applyBorder="1" applyAlignment="1">
      <alignment horizontal="left" vertical="top" wrapText="1"/>
    </xf>
    <xf numFmtId="0" fontId="4" fillId="0" borderId="10" xfId="7" applyFont="1" applyBorder="1" applyAlignment="1">
      <alignment horizontal="left" vertical="top" wrapText="1"/>
    </xf>
    <xf numFmtId="0" fontId="4" fillId="0" borderId="16" xfId="7" applyFont="1" applyBorder="1" applyAlignment="1">
      <alignment horizontal="left" vertical="top" wrapText="1"/>
    </xf>
    <xf numFmtId="0" fontId="4" fillId="0" borderId="10" xfId="7" applyFont="1" applyBorder="1" applyAlignment="1">
      <alignment horizontal="center" vertical="top"/>
    </xf>
    <xf numFmtId="0" fontId="7" fillId="5" borderId="4" xfId="0" applyFont="1" applyFill="1" applyBorder="1" applyAlignment="1">
      <alignment horizontal="left"/>
    </xf>
    <xf numFmtId="17" fontId="16" fillId="5" borderId="1" xfId="0" applyNumberFormat="1" applyFont="1" applyFill="1" applyBorder="1" applyAlignment="1">
      <alignment horizontal="left"/>
    </xf>
    <xf numFmtId="17" fontId="16" fillId="5" borderId="2" xfId="0" applyNumberFormat="1" applyFont="1" applyFill="1" applyBorder="1" applyAlignment="1">
      <alignment horizontal="left"/>
    </xf>
    <xf numFmtId="17" fontId="16" fillId="5" borderId="3" xfId="0" applyNumberFormat="1" applyFont="1" applyFill="1" applyBorder="1" applyAlignment="1">
      <alignment horizontal="left"/>
    </xf>
    <xf numFmtId="0" fontId="16" fillId="5" borderId="1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left"/>
    </xf>
    <xf numFmtId="0" fontId="7" fillId="5" borderId="3" xfId="0" applyFont="1" applyFill="1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2" fontId="19" fillId="2" borderId="12" xfId="0" applyNumberFormat="1" applyFont="1" applyFill="1" applyBorder="1" applyAlignment="1">
      <alignment horizontal="left" vertical="center"/>
    </xf>
    <xf numFmtId="2" fontId="19" fillId="2" borderId="0" xfId="0" applyNumberFormat="1" applyFont="1" applyFill="1" applyAlignment="1">
      <alignment horizontal="left" vertical="center"/>
    </xf>
    <xf numFmtId="0" fontId="8" fillId="2" borderId="0" xfId="0" applyFont="1" applyFill="1" applyBorder="1" applyAlignment="1">
      <alignment horizontal="right"/>
    </xf>
    <xf numFmtId="0" fontId="4" fillId="2" borderId="0" xfId="7" applyFont="1" applyFill="1" applyBorder="1" applyAlignment="1">
      <alignment horizontal="center" vertical="top"/>
    </xf>
    <xf numFmtId="2" fontId="19" fillId="2" borderId="17" xfId="10" applyNumberFormat="1" applyFont="1" applyFill="1" applyBorder="1" applyAlignment="1">
      <alignment horizontal="center" vertical="center"/>
    </xf>
    <xf numFmtId="2" fontId="19" fillId="2" borderId="19" xfId="10" applyNumberFormat="1" applyFont="1" applyFill="1" applyBorder="1" applyAlignment="1">
      <alignment horizontal="center" vertical="center"/>
    </xf>
    <xf numFmtId="2" fontId="19" fillId="2" borderId="18" xfId="10" applyNumberFormat="1" applyFont="1" applyFill="1" applyBorder="1" applyAlignment="1">
      <alignment horizontal="center" vertical="center"/>
    </xf>
    <xf numFmtId="2" fontId="19" fillId="2" borderId="0" xfId="0" applyNumberFormat="1" applyFont="1" applyFill="1" applyBorder="1" applyAlignment="1">
      <alignment horizontal="left" vertical="center"/>
    </xf>
    <xf numFmtId="2" fontId="19" fillId="5" borderId="1" xfId="10" applyNumberFormat="1" applyFont="1" applyFill="1" applyBorder="1" applyAlignment="1">
      <alignment horizontal="left" vertical="center"/>
    </xf>
    <xf numFmtId="2" fontId="19" fillId="5" borderId="2" xfId="10" applyNumberFormat="1" applyFont="1" applyFill="1" applyBorder="1" applyAlignment="1">
      <alignment horizontal="left" vertical="center"/>
    </xf>
    <xf numFmtId="2" fontId="19" fillId="5" borderId="3" xfId="10" applyNumberFormat="1" applyFont="1" applyFill="1" applyBorder="1" applyAlignment="1">
      <alignment horizontal="left" vertical="center"/>
    </xf>
    <xf numFmtId="2" fontId="19" fillId="2" borderId="4" xfId="10" applyNumberFormat="1" applyFont="1" applyFill="1" applyBorder="1" applyAlignment="1">
      <alignment horizontal="center" vertical="center" wrapText="1"/>
    </xf>
    <xf numFmtId="2" fontId="19" fillId="2" borderId="13" xfId="10" applyNumberFormat="1" applyFont="1" applyFill="1" applyBorder="1" applyAlignment="1">
      <alignment horizontal="center" vertical="center" wrapText="1"/>
    </xf>
    <xf numFmtId="2" fontId="19" fillId="2" borderId="15" xfId="10" applyNumberFormat="1" applyFont="1" applyFill="1" applyBorder="1" applyAlignment="1">
      <alignment horizontal="center" vertical="center" wrapText="1"/>
    </xf>
    <xf numFmtId="2" fontId="19" fillId="2" borderId="17" xfId="10" applyNumberFormat="1" applyFont="1" applyFill="1" applyBorder="1" applyAlignment="1">
      <alignment horizontal="center" vertical="center" wrapText="1"/>
    </xf>
    <xf numFmtId="2" fontId="19" fillId="2" borderId="18" xfId="10" applyNumberFormat="1" applyFont="1" applyFill="1" applyBorder="1" applyAlignment="1">
      <alignment horizontal="center" vertical="center" wrapText="1"/>
    </xf>
    <xf numFmtId="2" fontId="19" fillId="5" borderId="4" xfId="10" applyNumberFormat="1" applyFont="1" applyFill="1" applyBorder="1" applyAlignment="1">
      <alignment horizontal="left" vertical="center"/>
    </xf>
  </cellXfs>
  <cellStyles count="15">
    <cellStyle name="Moeda" xfId="1" builtinId="4"/>
    <cellStyle name="Moeda 34" xfId="5"/>
    <cellStyle name="Normal" xfId="0" builtinId="0"/>
    <cellStyle name="Normal 11 3" xfId="3"/>
    <cellStyle name="Normal 2 22" xfId="10"/>
    <cellStyle name="Normal 2 3" xfId="7"/>
    <cellStyle name="Normal 5" xfId="8"/>
    <cellStyle name="Normal_Pesquisa no referencial 10 de maio de 2013" xfId="14"/>
    <cellStyle name="Porcentagem" xfId="2" builtinId="5"/>
    <cellStyle name="Porcentagem 2" xfId="6"/>
    <cellStyle name="Porcentagem 3" xfId="9"/>
    <cellStyle name="Separador de milhares 2 15 2" xfId="12"/>
    <cellStyle name="Vírgula 2 4" xfId="13"/>
    <cellStyle name="Vírgula 31" xfId="4"/>
    <cellStyle name="Vírgula 4 5 12" xfId="11"/>
  </cellStyles>
  <dxfs count="12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214310</xdr:colOff>
      <xdr:row>20</xdr:row>
      <xdr:rowOff>47625</xdr:rowOff>
    </xdr:from>
    <xdr:ext cx="2414589" cy="3564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A3B20B22-DE63-43A7-B0D2-47D14AE3A6C6}"/>
                </a:ext>
              </a:extLst>
            </xdr:cNvPr>
            <xdr:cNvSpPr txBox="1"/>
          </xdr:nvSpPr>
          <xdr:spPr>
            <a:xfrm>
              <a:off x="4824410" y="3790950"/>
              <a:ext cx="2414589" cy="3564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050">
                  <a:latin typeface="+mn-lt"/>
                </a:rPr>
                <a:t>BDI</a:t>
              </a:r>
              <a:r>
                <a:rPr lang="pt-BR" sz="1050" baseline="0">
                  <a:latin typeface="+mn-lt"/>
                </a:rPr>
                <a:t> = </a:t>
              </a:r>
              <a14:m>
                <m:oMath xmlns:m="http://schemas.openxmlformats.org/officeDocument/2006/math">
                  <m:d>
                    <m:dPr>
                      <m:begChr m:val="{"/>
                      <m:endChr m:val="}"/>
                      <m:ctrlPr>
                        <a:rPr lang="pt-BR" sz="1050" i="1">
                          <a:latin typeface="Cambria Math" panose="02040503050406030204" pitchFamily="18" charset="0"/>
                        </a:rPr>
                      </m:ctrlPr>
                    </m:dPr>
                    <m:e>
                      <m:d>
                        <m:dPr>
                          <m:begChr m:val="["/>
                          <m:endChr m:val="]"/>
                          <m:ctrlPr>
                            <a:rPr lang="pt-BR" sz="105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f>
                            <m:fPr>
                              <m:ctrlPr>
                                <a:rPr lang="pt-BR" sz="1050" i="1">
                                  <a:latin typeface="Cambria Math" panose="02040503050406030204" pitchFamily="18" charset="0"/>
                                </a:rPr>
                              </m:ctrlPr>
                            </m:fPr>
                            <m:num>
                              <m:d>
                                <m:dPr>
                                  <m:ctrlP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</m:ctrlPr>
                                </m:dPr>
                                <m:e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1+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𝐴𝐶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𝐺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𝑅</m:t>
                                  </m:r>
                                </m:e>
                              </m:d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∗</m:t>
                              </m:r>
                              <m:d>
                                <m:dPr>
                                  <m:ctrlP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</m:ctrlPr>
                                </m:dPr>
                                <m:e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1+</m:t>
                                  </m:r>
                                  <m:r>
                                    <a:rPr lang="pt-BR" sz="1050" b="0" i="1">
                                      <a:latin typeface="Cambria Math" panose="02040503050406030204" pitchFamily="18" charset="0"/>
                                    </a:rPr>
                                    <m:t>𝐷𝐹</m:t>
                                  </m:r>
                                </m:e>
                              </m:d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∗(1+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𝐿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)</m:t>
                              </m:r>
                            </m:num>
                            <m:den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1−</m:t>
                              </m:r>
                              <m:r>
                                <a:rPr lang="pt-BR" sz="1050" b="0" i="1">
                                  <a:latin typeface="Cambria Math" panose="02040503050406030204" pitchFamily="18" charset="0"/>
                                </a:rPr>
                                <m:t>𝐼</m:t>
                              </m:r>
                            </m:den>
                          </m:f>
                        </m:e>
                      </m:d>
                      <m:r>
                        <a:rPr lang="pt-BR" sz="1050" b="0" i="1">
                          <a:latin typeface="Cambria Math" panose="02040503050406030204" pitchFamily="18" charset="0"/>
                        </a:rPr>
                        <m:t>−1</m:t>
                      </m:r>
                    </m:e>
                  </m:d>
                  <m:r>
                    <a:rPr lang="pt-BR" sz="1050" b="0" i="1">
                      <a:latin typeface="Cambria Math" panose="02040503050406030204" pitchFamily="18" charset="0"/>
                    </a:rPr>
                    <m:t>∗100</m:t>
                  </m:r>
                </m:oMath>
              </a14:m>
              <a:endParaRPr lang="pt-BR" sz="1050">
                <a:latin typeface="+mn-lt"/>
              </a:endParaRPr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A3B20B22-DE63-43A7-B0D2-47D14AE3A6C6}"/>
                </a:ext>
              </a:extLst>
            </xdr:cNvPr>
            <xdr:cNvSpPr txBox="1"/>
          </xdr:nvSpPr>
          <xdr:spPr>
            <a:xfrm>
              <a:off x="4824410" y="3790950"/>
              <a:ext cx="2414589" cy="3564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050">
                  <a:latin typeface="+mn-lt"/>
                </a:rPr>
                <a:t>BDI</a:t>
              </a:r>
              <a:r>
                <a:rPr lang="pt-BR" sz="1050" baseline="0">
                  <a:latin typeface="+mn-lt"/>
                </a:rPr>
                <a:t> = </a:t>
              </a:r>
              <a:r>
                <a:rPr lang="pt-BR" sz="1050" i="0">
                  <a:latin typeface="Cambria Math" panose="02040503050406030204" pitchFamily="18" charset="0"/>
                </a:rPr>
                <a:t>{[(</a:t>
              </a:r>
              <a:r>
                <a:rPr lang="pt-BR" sz="1050" b="0" i="0">
                  <a:latin typeface="Cambria Math" panose="02040503050406030204" pitchFamily="18" charset="0"/>
                </a:rPr>
                <a:t>(1+𝐴𝐶+𝐺+𝑅)∗(1+𝐷𝐹)∗(1+𝐿))/(1−𝐼)]−1}∗100</a:t>
              </a:r>
              <a:endParaRPr lang="pt-BR" sz="1050">
                <a:latin typeface="+mn-lt"/>
              </a:endParaRPr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gelica\Desktop\Prefeitura%20Floriano\Capela%20Mortu&#225;ria\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õ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B2:N121"/>
  <sheetViews>
    <sheetView zoomScale="90" zoomScaleNormal="90" workbookViewId="0">
      <selection activeCell="E105" sqref="E105"/>
    </sheetView>
  </sheetViews>
  <sheetFormatPr defaultColWidth="9.140625" defaultRowHeight="12.75" outlineLevelRow="2" x14ac:dyDescent="0.25"/>
  <cols>
    <col min="1" max="1" width="1.7109375" style="1" customWidth="1"/>
    <col min="2" max="2" width="8.7109375" style="1" customWidth="1"/>
    <col min="3" max="3" width="10.5703125" style="3" customWidth="1"/>
    <col min="4" max="4" width="10.85546875" style="3" customWidth="1"/>
    <col min="5" max="5" width="84.85546875" style="4" customWidth="1"/>
    <col min="6" max="6" width="11" style="5" bestFit="1" customWidth="1"/>
    <col min="7" max="7" width="12.85546875" style="5" bestFit="1" customWidth="1"/>
    <col min="8" max="8" width="14" style="6" customWidth="1"/>
    <col min="9" max="9" width="14.42578125" style="6" bestFit="1" customWidth="1"/>
    <col min="10" max="10" width="20" style="6" bestFit="1" customWidth="1"/>
    <col min="11" max="11" width="13" style="1" customWidth="1"/>
    <col min="12" max="12" width="47.28515625" style="1" bestFit="1" customWidth="1"/>
    <col min="13" max="16" width="9.140625" style="1"/>
    <col min="17" max="17" width="46.7109375" style="1" bestFit="1" customWidth="1"/>
    <col min="18" max="16384" width="9.140625" style="1"/>
  </cols>
  <sheetData>
    <row r="2" spans="2:14" x14ac:dyDescent="0.25">
      <c r="B2" s="166" t="s">
        <v>0</v>
      </c>
      <c r="C2" s="166"/>
      <c r="D2" s="166"/>
      <c r="E2" s="166"/>
      <c r="F2" s="166"/>
      <c r="G2" s="166"/>
      <c r="H2" s="166"/>
      <c r="I2" s="166"/>
      <c r="J2" s="166"/>
    </row>
    <row r="4" spans="2:14" x14ac:dyDescent="0.25">
      <c r="B4" s="2" t="s">
        <v>121</v>
      </c>
      <c r="I4" s="7" t="s">
        <v>1</v>
      </c>
      <c r="J4" s="8">
        <v>0.2422</v>
      </c>
    </row>
    <row r="5" spans="2:14" x14ac:dyDescent="0.25">
      <c r="B5" s="2" t="s">
        <v>290</v>
      </c>
      <c r="H5" s="78" t="s">
        <v>19</v>
      </c>
      <c r="I5" s="7" t="s">
        <v>2</v>
      </c>
      <c r="J5" s="9">
        <v>46174</v>
      </c>
    </row>
    <row r="6" spans="2:14" x14ac:dyDescent="0.25">
      <c r="B6" s="2" t="s">
        <v>291</v>
      </c>
      <c r="H6" s="78" t="s">
        <v>14</v>
      </c>
      <c r="I6" s="7" t="s">
        <v>2</v>
      </c>
      <c r="J6" s="9">
        <v>46113</v>
      </c>
      <c r="K6" s="37"/>
      <c r="L6" s="11"/>
      <c r="M6" s="11"/>
      <c r="N6" s="11"/>
    </row>
    <row r="7" spans="2:14" x14ac:dyDescent="0.25">
      <c r="B7" s="2"/>
      <c r="I7" s="10"/>
      <c r="J7" s="10"/>
      <c r="K7" s="37"/>
      <c r="L7" s="11"/>
      <c r="M7" s="11"/>
      <c r="N7" s="11"/>
    </row>
    <row r="8" spans="2:14" s="11" customFormat="1" ht="25.5" x14ac:dyDescent="0.25">
      <c r="B8" s="89" t="s">
        <v>4</v>
      </c>
      <c r="C8" s="89" t="s">
        <v>5</v>
      </c>
      <c r="D8" s="89" t="s">
        <v>6</v>
      </c>
      <c r="E8" s="89" t="s">
        <v>7</v>
      </c>
      <c r="F8" s="90" t="s">
        <v>8</v>
      </c>
      <c r="G8" s="90" t="s">
        <v>9</v>
      </c>
      <c r="H8" s="91" t="s">
        <v>10</v>
      </c>
      <c r="I8" s="92" t="s">
        <v>47</v>
      </c>
      <c r="J8" s="93" t="s">
        <v>11</v>
      </c>
      <c r="K8" s="37"/>
    </row>
    <row r="9" spans="2:14" ht="15.75" x14ac:dyDescent="0.25">
      <c r="B9" s="167" t="s">
        <v>65</v>
      </c>
      <c r="C9" s="168"/>
      <c r="D9" s="168"/>
      <c r="E9" s="168"/>
      <c r="F9" s="168"/>
      <c r="G9" s="168"/>
      <c r="H9" s="168"/>
      <c r="I9" s="169"/>
      <c r="J9" s="94">
        <f>J10+J12+J22+J37+J70+J102</f>
        <v>1555496.2055815796</v>
      </c>
    </row>
    <row r="10" spans="2:14" s="12" customFormat="1" outlineLevel="1" x14ac:dyDescent="0.25">
      <c r="B10" s="95">
        <v>1</v>
      </c>
      <c r="C10" s="96"/>
      <c r="D10" s="96"/>
      <c r="E10" s="95" t="s">
        <v>12</v>
      </c>
      <c r="F10" s="97"/>
      <c r="G10" s="97"/>
      <c r="H10" s="98"/>
      <c r="I10" s="99"/>
      <c r="J10" s="100">
        <f>J11</f>
        <v>130132.872</v>
      </c>
      <c r="K10" s="37"/>
      <c r="L10" s="11"/>
      <c r="M10" s="11"/>
      <c r="N10" s="11"/>
    </row>
    <row r="11" spans="2:14" ht="25.5" customHeight="1" outlineLevel="2" x14ac:dyDescent="0.25">
      <c r="B11" s="101" t="s">
        <v>13</v>
      </c>
      <c r="C11" s="102" t="s">
        <v>164</v>
      </c>
      <c r="D11" s="103" t="s">
        <v>165</v>
      </c>
      <c r="E11" s="104" t="s">
        <v>133</v>
      </c>
      <c r="F11" s="105" t="s">
        <v>48</v>
      </c>
      <c r="G11" s="105">
        <v>1</v>
      </c>
      <c r="H11" s="106">
        <v>104760</v>
      </c>
      <c r="I11" s="107">
        <f>(H11*$J$4)+H11</f>
        <v>130132.872</v>
      </c>
      <c r="J11" s="106">
        <f>I11*G11</f>
        <v>130132.872</v>
      </c>
      <c r="K11" s="37"/>
      <c r="L11" s="11"/>
      <c r="M11" s="11"/>
      <c r="N11" s="11"/>
    </row>
    <row r="12" spans="2:14" s="12" customFormat="1" outlineLevel="1" x14ac:dyDescent="0.25">
      <c r="B12" s="95">
        <v>2</v>
      </c>
      <c r="C12" s="96"/>
      <c r="D12" s="96"/>
      <c r="E12" s="108" t="s">
        <v>15</v>
      </c>
      <c r="F12" s="97"/>
      <c r="G12" s="97"/>
      <c r="H12" s="98"/>
      <c r="I12" s="107"/>
      <c r="J12" s="100">
        <f>SUM(J13:J21)</f>
        <v>56197.470847199998</v>
      </c>
    </row>
    <row r="13" spans="2:14" ht="12.75" customHeight="1" outlineLevel="2" x14ac:dyDescent="0.25">
      <c r="B13" s="101" t="s">
        <v>16</v>
      </c>
      <c r="C13" s="102" t="s">
        <v>166</v>
      </c>
      <c r="D13" s="103" t="s">
        <v>165</v>
      </c>
      <c r="E13" s="109" t="s">
        <v>146</v>
      </c>
      <c r="F13" s="105" t="s">
        <v>25</v>
      </c>
      <c r="G13" s="105">
        <v>4.8</v>
      </c>
      <c r="H13" s="106">
        <v>384.97</v>
      </c>
      <c r="I13" s="107">
        <f>(H13*$J$4)+H13</f>
        <v>478.20973400000003</v>
      </c>
      <c r="J13" s="106">
        <f>I13*G13</f>
        <v>2295.4067232000002</v>
      </c>
    </row>
    <row r="14" spans="2:14" ht="25.5" customHeight="1" outlineLevel="2" x14ac:dyDescent="0.25">
      <c r="B14" s="101" t="s">
        <v>17</v>
      </c>
      <c r="C14" s="102">
        <v>103695</v>
      </c>
      <c r="D14" s="103" t="s">
        <v>19</v>
      </c>
      <c r="E14" s="104" t="s">
        <v>167</v>
      </c>
      <c r="F14" s="105" t="s">
        <v>48</v>
      </c>
      <c r="G14" s="105">
        <v>3</v>
      </c>
      <c r="H14" s="106">
        <v>101.44</v>
      </c>
      <c r="I14" s="107">
        <f t="shared" ref="I14:I21" si="0">(H14*$J$4)+H14</f>
        <v>126.008768</v>
      </c>
      <c r="J14" s="106">
        <f t="shared" ref="J14:J21" si="1">I14*G14</f>
        <v>378.02630399999998</v>
      </c>
    </row>
    <row r="15" spans="2:14" ht="25.5" customHeight="1" outlineLevel="2" x14ac:dyDescent="0.25">
      <c r="B15" s="101" t="s">
        <v>18</v>
      </c>
      <c r="C15" s="102">
        <v>10776</v>
      </c>
      <c r="D15" s="103" t="s">
        <v>215</v>
      </c>
      <c r="E15" s="104" t="s">
        <v>168</v>
      </c>
      <c r="F15" s="105" t="s">
        <v>169</v>
      </c>
      <c r="G15" s="105">
        <v>6</v>
      </c>
      <c r="H15" s="106">
        <v>908.2</v>
      </c>
      <c r="I15" s="107">
        <f t="shared" si="0"/>
        <v>1128.1660400000001</v>
      </c>
      <c r="J15" s="106">
        <f t="shared" si="1"/>
        <v>6768.9962400000004</v>
      </c>
    </row>
    <row r="16" spans="2:14" ht="25.5" customHeight="1" outlineLevel="2" x14ac:dyDescent="0.25">
      <c r="B16" s="101" t="s">
        <v>20</v>
      </c>
      <c r="C16" s="102">
        <v>10775</v>
      </c>
      <c r="D16" s="103" t="s">
        <v>215</v>
      </c>
      <c r="E16" s="104" t="s">
        <v>170</v>
      </c>
      <c r="F16" s="105" t="s">
        <v>169</v>
      </c>
      <c r="G16" s="105">
        <v>6</v>
      </c>
      <c r="H16" s="106">
        <v>1162.5</v>
      </c>
      <c r="I16" s="107">
        <f t="shared" si="0"/>
        <v>1444.0574999999999</v>
      </c>
      <c r="J16" s="106">
        <f t="shared" si="1"/>
        <v>8664.3449999999993</v>
      </c>
    </row>
    <row r="17" spans="2:10" ht="25.5" customHeight="1" outlineLevel="2" x14ac:dyDescent="0.25">
      <c r="B17" s="101" t="s">
        <v>120</v>
      </c>
      <c r="C17" s="102">
        <v>100948</v>
      </c>
      <c r="D17" s="103" t="s">
        <v>19</v>
      </c>
      <c r="E17" s="104" t="s">
        <v>172</v>
      </c>
      <c r="F17" s="105" t="s">
        <v>171</v>
      </c>
      <c r="G17" s="105">
        <f>48*2*12</f>
        <v>1152</v>
      </c>
      <c r="H17" s="106">
        <v>0.98</v>
      </c>
      <c r="I17" s="107">
        <f t="shared" si="0"/>
        <v>1.2173559999999999</v>
      </c>
      <c r="J17" s="106">
        <f>I17*G17</f>
        <v>1402.394112</v>
      </c>
    </row>
    <row r="18" spans="2:10" ht="25.5" customHeight="1" outlineLevel="2" x14ac:dyDescent="0.25">
      <c r="B18" s="101" t="s">
        <v>21</v>
      </c>
      <c r="C18" s="102">
        <v>100945</v>
      </c>
      <c r="D18" s="103" t="s">
        <v>19</v>
      </c>
      <c r="E18" s="104" t="s">
        <v>173</v>
      </c>
      <c r="F18" s="105" t="s">
        <v>171</v>
      </c>
      <c r="G18" s="105">
        <f>24*2*12</f>
        <v>576</v>
      </c>
      <c r="H18" s="106">
        <v>3.69</v>
      </c>
      <c r="I18" s="107">
        <f t="shared" si="0"/>
        <v>4.5837180000000002</v>
      </c>
      <c r="J18" s="106">
        <f t="shared" si="1"/>
        <v>2640.2215679999999</v>
      </c>
    </row>
    <row r="19" spans="2:10" ht="25.5" customHeight="1" outlineLevel="2" x14ac:dyDescent="0.25">
      <c r="B19" s="101" t="s">
        <v>22</v>
      </c>
      <c r="C19" s="102">
        <v>93421</v>
      </c>
      <c r="D19" s="103" t="s">
        <v>19</v>
      </c>
      <c r="E19" s="104" t="s">
        <v>174</v>
      </c>
      <c r="F19" s="105" t="s">
        <v>50</v>
      </c>
      <c r="G19" s="105">
        <v>240</v>
      </c>
      <c r="H19" s="106">
        <v>85.57</v>
      </c>
      <c r="I19" s="107">
        <f t="shared" si="0"/>
        <v>106.29505399999999</v>
      </c>
      <c r="J19" s="106">
        <f t="shared" si="1"/>
        <v>25510.812959999999</v>
      </c>
    </row>
    <row r="20" spans="2:10" ht="25.5" customHeight="1" outlineLevel="2" x14ac:dyDescent="0.25">
      <c r="B20" s="101" t="s">
        <v>218</v>
      </c>
      <c r="C20" s="102">
        <v>99059</v>
      </c>
      <c r="D20" s="103" t="s">
        <v>19</v>
      </c>
      <c r="E20" s="104" t="s">
        <v>220</v>
      </c>
      <c r="F20" s="105" t="s">
        <v>49</v>
      </c>
      <c r="G20" s="105">
        <f>72+14</f>
        <v>86</v>
      </c>
      <c r="H20" s="106">
        <v>66.569999999999993</v>
      </c>
      <c r="I20" s="107">
        <f t="shared" si="0"/>
        <v>82.693253999999996</v>
      </c>
      <c r="J20" s="106">
        <f t="shared" si="1"/>
        <v>7111.6198439999998</v>
      </c>
    </row>
    <row r="21" spans="2:10" ht="25.5" customHeight="1" outlineLevel="2" x14ac:dyDescent="0.25">
      <c r="B21" s="101" t="s">
        <v>219</v>
      </c>
      <c r="C21" s="102">
        <v>90781</v>
      </c>
      <c r="D21" s="103" t="s">
        <v>19</v>
      </c>
      <c r="E21" s="104" t="s">
        <v>221</v>
      </c>
      <c r="F21" s="105" t="s">
        <v>51</v>
      </c>
      <c r="G21" s="105">
        <v>24</v>
      </c>
      <c r="H21" s="106">
        <v>47.82</v>
      </c>
      <c r="I21" s="107">
        <f t="shared" si="0"/>
        <v>59.402003999999998</v>
      </c>
      <c r="J21" s="106">
        <f t="shared" si="1"/>
        <v>1425.6480959999999</v>
      </c>
    </row>
    <row r="22" spans="2:10" ht="25.5" customHeight="1" outlineLevel="2" x14ac:dyDescent="0.25">
      <c r="B22" s="95">
        <v>3</v>
      </c>
      <c r="C22" s="96"/>
      <c r="D22" s="96"/>
      <c r="E22" s="95" t="s">
        <v>23</v>
      </c>
      <c r="F22" s="97"/>
      <c r="G22" s="97"/>
      <c r="H22" s="98"/>
      <c r="I22" s="99"/>
      <c r="J22" s="100">
        <f>J23</f>
        <v>226001.98210027203</v>
      </c>
    </row>
    <row r="23" spans="2:10" ht="25.5" customHeight="1" outlineLevel="2" x14ac:dyDescent="0.25">
      <c r="B23" s="110" t="s">
        <v>24</v>
      </c>
      <c r="C23" s="96"/>
      <c r="D23" s="96"/>
      <c r="E23" s="95" t="s">
        <v>222</v>
      </c>
      <c r="F23" s="111"/>
      <c r="G23" s="111"/>
      <c r="H23" s="112"/>
      <c r="I23" s="113"/>
      <c r="J23" s="100">
        <f>SUM(J24:J36)</f>
        <v>226001.98210027203</v>
      </c>
    </row>
    <row r="24" spans="2:10" ht="25.5" customHeight="1" outlineLevel="2" x14ac:dyDescent="0.25">
      <c r="B24" s="101" t="s">
        <v>194</v>
      </c>
      <c r="C24" s="102">
        <v>96523</v>
      </c>
      <c r="D24" s="103" t="s">
        <v>19</v>
      </c>
      <c r="E24" s="104" t="s">
        <v>223</v>
      </c>
      <c r="F24" s="105" t="s">
        <v>224</v>
      </c>
      <c r="G24" s="105">
        <f>4*3.1415*2</f>
        <v>25.132000000000001</v>
      </c>
      <c r="H24" s="106">
        <v>106.4</v>
      </c>
      <c r="I24" s="107">
        <f t="shared" ref="I24" si="2">(H24*$J$4)+H24</f>
        <v>132.17008000000001</v>
      </c>
      <c r="J24" s="106">
        <f t="shared" ref="J24:J29" si="3">I24*G24</f>
        <v>3321.6984505600003</v>
      </c>
    </row>
    <row r="25" spans="2:10" ht="25.5" customHeight="1" outlineLevel="2" x14ac:dyDescent="0.25">
      <c r="B25" s="101" t="s">
        <v>195</v>
      </c>
      <c r="C25" s="102" t="s">
        <v>231</v>
      </c>
      <c r="D25" s="103" t="s">
        <v>165</v>
      </c>
      <c r="E25" s="104" t="s">
        <v>226</v>
      </c>
      <c r="F25" s="105" t="s">
        <v>232</v>
      </c>
      <c r="G25" s="105">
        <f>36*1.5</f>
        <v>54</v>
      </c>
      <c r="H25" s="106">
        <v>298.8</v>
      </c>
      <c r="I25" s="107">
        <f t="shared" ref="I25" si="4">(H25*$J$4)+H25</f>
        <v>371.16935999999998</v>
      </c>
      <c r="J25" s="106">
        <f t="shared" si="3"/>
        <v>20043.14544</v>
      </c>
    </row>
    <row r="26" spans="2:10" ht="25.5" customHeight="1" outlineLevel="2" x14ac:dyDescent="0.25">
      <c r="B26" s="101" t="s">
        <v>196</v>
      </c>
      <c r="C26" s="102" t="s">
        <v>233</v>
      </c>
      <c r="D26" s="103" t="s">
        <v>165</v>
      </c>
      <c r="E26" s="104" t="s">
        <v>229</v>
      </c>
      <c r="F26" s="105" t="s">
        <v>232</v>
      </c>
      <c r="G26" s="105">
        <f>36*1</f>
        <v>36</v>
      </c>
      <c r="H26" s="106">
        <v>393.28</v>
      </c>
      <c r="I26" s="107">
        <f t="shared" ref="I26" si="5">(H26*$J$4)+H26</f>
        <v>488.53241599999996</v>
      </c>
      <c r="J26" s="106">
        <f t="shared" si="3"/>
        <v>17587.166975999997</v>
      </c>
    </row>
    <row r="27" spans="2:10" ht="30.75" customHeight="1" outlineLevel="2" x14ac:dyDescent="0.25">
      <c r="B27" s="101" t="s">
        <v>197</v>
      </c>
      <c r="C27" s="102">
        <v>4085</v>
      </c>
      <c r="D27" s="103" t="s">
        <v>215</v>
      </c>
      <c r="E27" s="104" t="s">
        <v>281</v>
      </c>
      <c r="F27" s="105" t="s">
        <v>51</v>
      </c>
      <c r="G27" s="105">
        <v>160</v>
      </c>
      <c r="H27" s="106">
        <v>2.8</v>
      </c>
      <c r="I27" s="107">
        <f t="shared" ref="I27:I36" si="6">(H27*$J$4)+H27</f>
        <v>3.4781599999999999</v>
      </c>
      <c r="J27" s="106">
        <f t="shared" si="3"/>
        <v>556.50559999999996</v>
      </c>
    </row>
    <row r="28" spans="2:10" ht="25.5" customHeight="1" outlineLevel="2" x14ac:dyDescent="0.25">
      <c r="B28" s="101" t="s">
        <v>198</v>
      </c>
      <c r="C28" s="102">
        <v>105916</v>
      </c>
      <c r="D28" s="103" t="s">
        <v>19</v>
      </c>
      <c r="E28" s="104" t="s">
        <v>312</v>
      </c>
      <c r="F28" s="105" t="s">
        <v>50</v>
      </c>
      <c r="G28" s="105">
        <v>80</v>
      </c>
      <c r="H28" s="106">
        <v>32.21</v>
      </c>
      <c r="I28" s="107">
        <f t="shared" si="6"/>
        <v>40.011262000000002</v>
      </c>
      <c r="J28" s="106">
        <f t="shared" si="3"/>
        <v>3200.9009599999999</v>
      </c>
    </row>
    <row r="29" spans="2:10" ht="25.5" customHeight="1" outlineLevel="2" x14ac:dyDescent="0.25">
      <c r="B29" s="101" t="s">
        <v>199</v>
      </c>
      <c r="C29" s="102">
        <v>92764</v>
      </c>
      <c r="D29" s="103" t="s">
        <v>19</v>
      </c>
      <c r="E29" s="104" t="s">
        <v>188</v>
      </c>
      <c r="F29" s="105" t="s">
        <v>52</v>
      </c>
      <c r="G29" s="105">
        <f>(8*4*2.5+(15*2*2))/12*18.93</f>
        <v>220.85</v>
      </c>
      <c r="H29" s="106">
        <v>8.58</v>
      </c>
      <c r="I29" s="107">
        <f t="shared" si="6"/>
        <v>10.658075999999999</v>
      </c>
      <c r="J29" s="106">
        <f t="shared" si="3"/>
        <v>2353.8360845999996</v>
      </c>
    </row>
    <row r="30" spans="2:10" ht="25.5" customHeight="1" outlineLevel="2" x14ac:dyDescent="0.25">
      <c r="B30" s="101" t="s">
        <v>200</v>
      </c>
      <c r="C30" s="102">
        <v>92761</v>
      </c>
      <c r="D30" s="103" t="s">
        <v>19</v>
      </c>
      <c r="E30" s="104" t="s">
        <v>191</v>
      </c>
      <c r="F30" s="105" t="s">
        <v>52</v>
      </c>
      <c r="G30" s="105">
        <f>((30*15*2))/12*4.74*1.1</f>
        <v>391.05</v>
      </c>
      <c r="H30" s="106">
        <v>12.02</v>
      </c>
      <c r="I30" s="107">
        <f t="shared" si="6"/>
        <v>14.931244</v>
      </c>
      <c r="J30" s="106">
        <f t="shared" ref="J30:J36" si="7">I30*G30</f>
        <v>5838.8629662000003</v>
      </c>
    </row>
    <row r="31" spans="2:10" ht="25.5" customHeight="1" outlineLevel="2" x14ac:dyDescent="0.25">
      <c r="B31" s="101" t="s">
        <v>201</v>
      </c>
      <c r="C31" s="102">
        <v>92762</v>
      </c>
      <c r="D31" s="103" t="s">
        <v>19</v>
      </c>
      <c r="E31" s="104" t="s">
        <v>179</v>
      </c>
      <c r="F31" s="105" t="s">
        <v>177</v>
      </c>
      <c r="G31" s="105">
        <f>(5.7*20*2*4)/12*7.4*1.1</f>
        <v>618.64</v>
      </c>
      <c r="H31" s="106">
        <v>10.65</v>
      </c>
      <c r="I31" s="107">
        <f t="shared" si="6"/>
        <v>13.229430000000001</v>
      </c>
      <c r="J31" s="106">
        <f t="shared" si="7"/>
        <v>8184.2545752000005</v>
      </c>
    </row>
    <row r="32" spans="2:10" ht="25.5" customHeight="1" outlineLevel="2" x14ac:dyDescent="0.25">
      <c r="B32" s="101" t="s">
        <v>202</v>
      </c>
      <c r="C32" s="102">
        <v>92763</v>
      </c>
      <c r="D32" s="103" t="s">
        <v>19</v>
      </c>
      <c r="E32" s="104" t="s">
        <v>283</v>
      </c>
      <c r="F32" s="105" t="s">
        <v>177</v>
      </c>
      <c r="G32" s="105">
        <f>((7.2*150*2))/12*11.55*1.1</f>
        <v>2286.9</v>
      </c>
      <c r="H32" s="106">
        <v>8.91</v>
      </c>
      <c r="I32" s="107">
        <f t="shared" ref="I32" si="8">(H32*$J$4)+H32</f>
        <v>11.068002</v>
      </c>
      <c r="J32" s="106">
        <f t="shared" ref="J32" si="9">I32*G32</f>
        <v>25311.413773799999</v>
      </c>
    </row>
    <row r="33" spans="2:10" ht="25.5" customHeight="1" outlineLevel="2" x14ac:dyDescent="0.25">
      <c r="B33" s="101" t="s">
        <v>217</v>
      </c>
      <c r="C33" s="102">
        <v>96558</v>
      </c>
      <c r="D33" s="103" t="s">
        <v>19</v>
      </c>
      <c r="E33" s="104" t="s">
        <v>180</v>
      </c>
      <c r="F33" s="105" t="s">
        <v>33</v>
      </c>
      <c r="G33" s="105">
        <f>(3.1415*4*2)+(3*0.8*15*2)</f>
        <v>97.132000000000019</v>
      </c>
      <c r="H33" s="106">
        <v>904.08</v>
      </c>
      <c r="I33" s="107">
        <f t="shared" si="6"/>
        <v>1123.048176</v>
      </c>
      <c r="J33" s="106">
        <f t="shared" si="7"/>
        <v>109083.91543123202</v>
      </c>
    </row>
    <row r="34" spans="2:10" ht="25.5" customHeight="1" outlineLevel="2" x14ac:dyDescent="0.25">
      <c r="B34" s="101" t="s">
        <v>234</v>
      </c>
      <c r="C34" s="102">
        <v>5909007</v>
      </c>
      <c r="D34" s="103" t="s">
        <v>14</v>
      </c>
      <c r="E34" s="104" t="s">
        <v>53</v>
      </c>
      <c r="F34" s="105" t="s">
        <v>54</v>
      </c>
      <c r="G34" s="105">
        <f>G33*2.5</f>
        <v>242.83000000000004</v>
      </c>
      <c r="H34" s="106">
        <v>25.1</v>
      </c>
      <c r="I34" s="107">
        <f t="shared" si="6"/>
        <v>31.179220000000001</v>
      </c>
      <c r="J34" s="106">
        <f t="shared" si="7"/>
        <v>7571.2499926000019</v>
      </c>
    </row>
    <row r="35" spans="2:10" ht="25.5" customHeight="1" outlineLevel="2" x14ac:dyDescent="0.25">
      <c r="B35" s="101" t="s">
        <v>235</v>
      </c>
      <c r="C35" s="102">
        <v>5914539</v>
      </c>
      <c r="D35" s="103" t="s">
        <v>14</v>
      </c>
      <c r="E35" s="104" t="s">
        <v>55</v>
      </c>
      <c r="F35" s="105" t="s">
        <v>56</v>
      </c>
      <c r="G35" s="105">
        <f>(G33*2.5)*24</f>
        <v>5827.920000000001</v>
      </c>
      <c r="H35" s="106">
        <v>1.37</v>
      </c>
      <c r="I35" s="107">
        <f t="shared" si="6"/>
        <v>1.7018140000000002</v>
      </c>
      <c r="J35" s="106">
        <f t="shared" si="7"/>
        <v>9918.0358468800023</v>
      </c>
    </row>
    <row r="36" spans="2:10" ht="25.5" customHeight="1" outlineLevel="2" x14ac:dyDescent="0.25">
      <c r="B36" s="101" t="s">
        <v>292</v>
      </c>
      <c r="C36" s="102">
        <v>5914569</v>
      </c>
      <c r="D36" s="103" t="s">
        <v>14</v>
      </c>
      <c r="E36" s="104" t="s">
        <v>57</v>
      </c>
      <c r="F36" s="105" t="s">
        <v>56</v>
      </c>
      <c r="G36" s="105">
        <f>(G33*2.5)*48</f>
        <v>11655.840000000002</v>
      </c>
      <c r="H36" s="106">
        <v>0.9</v>
      </c>
      <c r="I36" s="107">
        <f t="shared" si="6"/>
        <v>1.11798</v>
      </c>
      <c r="J36" s="106">
        <f t="shared" si="7"/>
        <v>13030.996003200002</v>
      </c>
    </row>
    <row r="37" spans="2:10" s="12" customFormat="1" outlineLevel="1" x14ac:dyDescent="0.25">
      <c r="B37" s="95">
        <v>4</v>
      </c>
      <c r="C37" s="96"/>
      <c r="D37" s="96"/>
      <c r="E37" s="95" t="s">
        <v>26</v>
      </c>
      <c r="F37" s="97"/>
      <c r="G37" s="97"/>
      <c r="H37" s="98"/>
      <c r="I37" s="99"/>
      <c r="J37" s="100">
        <f>J38+J59+J48</f>
        <v>497677.06774796743</v>
      </c>
    </row>
    <row r="38" spans="2:10" s="12" customFormat="1" outlineLevel="1" x14ac:dyDescent="0.25">
      <c r="B38" s="110" t="s">
        <v>27</v>
      </c>
      <c r="C38" s="96"/>
      <c r="D38" s="96"/>
      <c r="E38" s="95" t="s">
        <v>236</v>
      </c>
      <c r="F38" s="111"/>
      <c r="G38" s="111"/>
      <c r="H38" s="112"/>
      <c r="I38" s="113"/>
      <c r="J38" s="100">
        <f>SUM(J39:J47)</f>
        <v>46104.194442940447</v>
      </c>
    </row>
    <row r="39" spans="2:10" s="12" customFormat="1" ht="25.5" outlineLevel="1" x14ac:dyDescent="0.25">
      <c r="B39" s="101" t="s">
        <v>28</v>
      </c>
      <c r="C39" s="102">
        <v>92264</v>
      </c>
      <c r="D39" s="103" t="s">
        <v>19</v>
      </c>
      <c r="E39" s="104" t="s">
        <v>237</v>
      </c>
      <c r="F39" s="105" t="s">
        <v>25</v>
      </c>
      <c r="G39" s="105">
        <f>(0.7*3.1415)*4*4</f>
        <v>35.184800000000003</v>
      </c>
      <c r="H39" s="106">
        <v>237.3</v>
      </c>
      <c r="I39" s="107">
        <f t="shared" ref="I39:I47" si="10">(H39*$J$4)+H39</f>
        <v>294.77406000000002</v>
      </c>
      <c r="J39" s="106">
        <f>I39*G39</f>
        <v>10371.566346288002</v>
      </c>
    </row>
    <row r="40" spans="2:10" s="12" customFormat="1" ht="38.25" outlineLevel="1" x14ac:dyDescent="0.25">
      <c r="B40" s="101" t="s">
        <v>29</v>
      </c>
      <c r="C40" s="102">
        <v>92447</v>
      </c>
      <c r="D40" s="103" t="s">
        <v>19</v>
      </c>
      <c r="E40" s="104" t="s">
        <v>238</v>
      </c>
      <c r="F40" s="105" t="s">
        <v>25</v>
      </c>
      <c r="G40" s="105">
        <f>G39</f>
        <v>35.184800000000003</v>
      </c>
      <c r="H40" s="106">
        <v>212.5</v>
      </c>
      <c r="I40" s="107">
        <f t="shared" si="10"/>
        <v>263.96749999999997</v>
      </c>
      <c r="J40" s="106">
        <f t="shared" ref="J40:J47" si="11">I40*G40</f>
        <v>9287.6436940000003</v>
      </c>
    </row>
    <row r="41" spans="2:10" s="12" customFormat="1" ht="25.5" outlineLevel="1" x14ac:dyDescent="0.25">
      <c r="B41" s="101" t="s">
        <v>30</v>
      </c>
      <c r="C41" s="102">
        <v>92764</v>
      </c>
      <c r="D41" s="103" t="s">
        <v>19</v>
      </c>
      <c r="E41" s="104" t="s">
        <v>178</v>
      </c>
      <c r="F41" s="105" t="s">
        <v>177</v>
      </c>
      <c r="G41" s="105">
        <f>((16*9.4*4)/12*18.93)</f>
        <v>949.024</v>
      </c>
      <c r="H41" s="106">
        <v>8.58</v>
      </c>
      <c r="I41" s="107">
        <f t="shared" si="10"/>
        <v>10.658075999999999</v>
      </c>
      <c r="J41" s="106">
        <f t="shared" si="11"/>
        <v>10114.769917824</v>
      </c>
    </row>
    <row r="42" spans="2:10" s="12" customFormat="1" ht="25.5" outlineLevel="1" x14ac:dyDescent="0.25">
      <c r="B42" s="101" t="s">
        <v>31</v>
      </c>
      <c r="C42" s="102">
        <v>92760</v>
      </c>
      <c r="D42" s="103" t="s">
        <v>19</v>
      </c>
      <c r="E42" s="104" t="s">
        <v>187</v>
      </c>
      <c r="F42" s="105" t="s">
        <v>52</v>
      </c>
      <c r="G42" s="105">
        <f>((88*2.1*4))/12*2.94</f>
        <v>181.10400000000001</v>
      </c>
      <c r="H42" s="106">
        <v>12.95</v>
      </c>
      <c r="I42" s="107">
        <f t="shared" ref="I42" si="12">(H42*$J$4)+H42</f>
        <v>16.086489999999998</v>
      </c>
      <c r="J42" s="106">
        <f t="shared" ref="J42" si="13">I42*G42</f>
        <v>2913.3276849599997</v>
      </c>
    </row>
    <row r="43" spans="2:10" s="12" customFormat="1" ht="25.5" outlineLevel="1" x14ac:dyDescent="0.25">
      <c r="B43" s="101" t="s">
        <v>32</v>
      </c>
      <c r="C43" s="102">
        <v>96558</v>
      </c>
      <c r="D43" s="103" t="s">
        <v>19</v>
      </c>
      <c r="E43" s="104" t="s">
        <v>180</v>
      </c>
      <c r="F43" s="105" t="s">
        <v>33</v>
      </c>
      <c r="G43" s="105">
        <f>(3.1415*0.7*0.7/4)*4*4</f>
        <v>6.1573400000000005</v>
      </c>
      <c r="H43" s="106">
        <v>904.08</v>
      </c>
      <c r="I43" s="107">
        <f t="shared" si="10"/>
        <v>1123.048176</v>
      </c>
      <c r="J43" s="106">
        <f t="shared" si="11"/>
        <v>6914.989456011841</v>
      </c>
    </row>
    <row r="44" spans="2:10" s="12" customFormat="1" ht="25.5" outlineLevel="1" x14ac:dyDescent="0.25">
      <c r="B44" s="101" t="s">
        <v>239</v>
      </c>
      <c r="C44" s="102">
        <v>5909007</v>
      </c>
      <c r="D44" s="103" t="s">
        <v>14</v>
      </c>
      <c r="E44" s="104" t="s">
        <v>53</v>
      </c>
      <c r="F44" s="105" t="s">
        <v>54</v>
      </c>
      <c r="G44" s="105">
        <f>G43*2.5</f>
        <v>15.393350000000002</v>
      </c>
      <c r="H44" s="106">
        <v>25.1</v>
      </c>
      <c r="I44" s="107">
        <f t="shared" si="10"/>
        <v>31.179220000000001</v>
      </c>
      <c r="J44" s="106">
        <f t="shared" si="11"/>
        <v>479.95264618700008</v>
      </c>
    </row>
    <row r="45" spans="2:10" s="12" customFormat="1" outlineLevel="1" x14ac:dyDescent="0.25">
      <c r="B45" s="101" t="s">
        <v>240</v>
      </c>
      <c r="C45" s="102">
        <v>5914539</v>
      </c>
      <c r="D45" s="103" t="s">
        <v>14</v>
      </c>
      <c r="E45" s="104" t="s">
        <v>55</v>
      </c>
      <c r="F45" s="105" t="s">
        <v>56</v>
      </c>
      <c r="G45" s="105">
        <f>(G43*2.5)*24</f>
        <v>369.44040000000007</v>
      </c>
      <c r="H45" s="106">
        <v>1.37</v>
      </c>
      <c r="I45" s="107">
        <f t="shared" si="10"/>
        <v>1.7018140000000002</v>
      </c>
      <c r="J45" s="106">
        <f t="shared" si="11"/>
        <v>628.71884488560022</v>
      </c>
    </row>
    <row r="46" spans="2:10" s="12" customFormat="1" outlineLevel="1" x14ac:dyDescent="0.25">
      <c r="B46" s="101" t="s">
        <v>241</v>
      </c>
      <c r="C46" s="102">
        <v>5914569</v>
      </c>
      <c r="D46" s="103" t="s">
        <v>14</v>
      </c>
      <c r="E46" s="104" t="s">
        <v>57</v>
      </c>
      <c r="F46" s="105" t="s">
        <v>56</v>
      </c>
      <c r="G46" s="105">
        <f>(G43*2.5)*48</f>
        <v>738.88080000000014</v>
      </c>
      <c r="H46" s="106">
        <v>0.9</v>
      </c>
      <c r="I46" s="107">
        <f t="shared" si="10"/>
        <v>1.11798</v>
      </c>
      <c r="J46" s="106">
        <f t="shared" si="11"/>
        <v>826.05395678400009</v>
      </c>
    </row>
    <row r="47" spans="2:10" s="12" customFormat="1" ht="25.5" outlineLevel="1" x14ac:dyDescent="0.25">
      <c r="B47" s="101" t="s">
        <v>242</v>
      </c>
      <c r="C47" s="102">
        <v>3816197</v>
      </c>
      <c r="D47" s="103" t="s">
        <v>14</v>
      </c>
      <c r="E47" s="104" t="s">
        <v>58</v>
      </c>
      <c r="F47" s="105" t="s">
        <v>33</v>
      </c>
      <c r="G47" s="105">
        <f>7*0.3*6*4</f>
        <v>50.400000000000006</v>
      </c>
      <c r="H47" s="106">
        <v>72.95</v>
      </c>
      <c r="I47" s="107">
        <f t="shared" si="10"/>
        <v>90.618490000000008</v>
      </c>
      <c r="J47" s="106">
        <f t="shared" si="11"/>
        <v>4567.1718960000007</v>
      </c>
    </row>
    <row r="48" spans="2:10" s="12" customFormat="1" outlineLevel="1" x14ac:dyDescent="0.25">
      <c r="B48" s="110" t="s">
        <v>34</v>
      </c>
      <c r="C48" s="96"/>
      <c r="D48" s="96"/>
      <c r="E48" s="95" t="s">
        <v>293</v>
      </c>
      <c r="F48" s="111"/>
      <c r="G48" s="111"/>
      <c r="H48" s="112"/>
      <c r="I48" s="113"/>
      <c r="J48" s="100">
        <f>SUM(J49:J58)</f>
        <v>88095.471592016009</v>
      </c>
    </row>
    <row r="49" spans="2:10" s="12" customFormat="1" ht="25.5" outlineLevel="1" x14ac:dyDescent="0.25">
      <c r="B49" s="101" t="s">
        <v>35</v>
      </c>
      <c r="C49" s="102">
        <v>92264</v>
      </c>
      <c r="D49" s="103" t="s">
        <v>19</v>
      </c>
      <c r="E49" s="104" t="s">
        <v>237</v>
      </c>
      <c r="F49" s="105" t="s">
        <v>25</v>
      </c>
      <c r="G49" s="105">
        <f>((7*2*0.7)+(0.7*0.7*2)+(1.3*7*2)+(0.7*1.3*2))*2</f>
        <v>61.599999999999994</v>
      </c>
      <c r="H49" s="106">
        <v>237.3</v>
      </c>
      <c r="I49" s="107">
        <f t="shared" ref="I49:I58" si="14">(H49*$J$4)+H49</f>
        <v>294.77406000000002</v>
      </c>
      <c r="J49" s="106">
        <f>I49*G49</f>
        <v>18158.082095999998</v>
      </c>
    </row>
    <row r="50" spans="2:10" s="12" customFormat="1" ht="38.25" outlineLevel="1" x14ac:dyDescent="0.25">
      <c r="B50" s="101" t="s">
        <v>36</v>
      </c>
      <c r="C50" s="102">
        <v>92447</v>
      </c>
      <c r="D50" s="103" t="s">
        <v>19</v>
      </c>
      <c r="E50" s="104" t="s">
        <v>238</v>
      </c>
      <c r="F50" s="105" t="s">
        <v>25</v>
      </c>
      <c r="G50" s="105">
        <f>G49</f>
        <v>61.599999999999994</v>
      </c>
      <c r="H50" s="106">
        <v>212.5</v>
      </c>
      <c r="I50" s="107">
        <f t="shared" si="14"/>
        <v>263.96749999999997</v>
      </c>
      <c r="J50" s="106">
        <f t="shared" ref="J50:J58" si="15">I50*G50</f>
        <v>16260.397999999997</v>
      </c>
    </row>
    <row r="51" spans="2:10" s="12" customFormat="1" ht="25.5" outlineLevel="1" x14ac:dyDescent="0.25">
      <c r="B51" s="101" t="s">
        <v>37</v>
      </c>
      <c r="C51" s="102">
        <v>92764</v>
      </c>
      <c r="D51" s="103" t="s">
        <v>19</v>
      </c>
      <c r="E51" s="104" t="s">
        <v>178</v>
      </c>
      <c r="F51" s="105" t="s">
        <v>177</v>
      </c>
      <c r="G51" s="105">
        <f>((6*7.2*2)+(4*7.5*2))/12*18.93</f>
        <v>230.94600000000003</v>
      </c>
      <c r="H51" s="106">
        <v>8.58</v>
      </c>
      <c r="I51" s="107">
        <f t="shared" si="14"/>
        <v>10.658075999999999</v>
      </c>
      <c r="J51" s="106">
        <f t="shared" si="15"/>
        <v>2461.4400198960002</v>
      </c>
    </row>
    <row r="52" spans="2:10" s="12" customFormat="1" ht="25.5" outlineLevel="1" x14ac:dyDescent="0.25">
      <c r="B52" s="101" t="s">
        <v>38</v>
      </c>
      <c r="C52" s="102">
        <v>92765</v>
      </c>
      <c r="D52" s="103" t="s">
        <v>19</v>
      </c>
      <c r="E52" s="104" t="s">
        <v>294</v>
      </c>
      <c r="F52" s="105" t="s">
        <v>177</v>
      </c>
      <c r="G52" s="105">
        <f>((10*7.5*2)*2.466)</f>
        <v>369.90000000000003</v>
      </c>
      <c r="H52" s="106">
        <v>9.74</v>
      </c>
      <c r="I52" s="107">
        <f t="shared" ref="I52" si="16">(H52*$J$4)+H52</f>
        <v>12.099028000000001</v>
      </c>
      <c r="J52" s="106">
        <f t="shared" ref="J52" si="17">I52*G52</f>
        <v>4475.430457200001</v>
      </c>
    </row>
    <row r="53" spans="2:10" s="12" customFormat="1" ht="25.5" outlineLevel="1" x14ac:dyDescent="0.25">
      <c r="B53" s="101" t="s">
        <v>243</v>
      </c>
      <c r="C53" s="102">
        <v>92760</v>
      </c>
      <c r="D53" s="103" t="s">
        <v>19</v>
      </c>
      <c r="E53" s="104" t="s">
        <v>187</v>
      </c>
      <c r="F53" s="105" t="s">
        <v>52</v>
      </c>
      <c r="G53" s="105">
        <f>((525.6*2))/12*2.94</f>
        <v>257.54400000000004</v>
      </c>
      <c r="H53" s="106">
        <v>12.95</v>
      </c>
      <c r="I53" s="107">
        <f t="shared" si="14"/>
        <v>16.086489999999998</v>
      </c>
      <c r="J53" s="106">
        <f t="shared" si="15"/>
        <v>4142.9789805600003</v>
      </c>
    </row>
    <row r="54" spans="2:10" s="12" customFormat="1" ht="25.5" outlineLevel="1" x14ac:dyDescent="0.25">
      <c r="B54" s="101" t="s">
        <v>244</v>
      </c>
      <c r="C54" s="102">
        <v>96558</v>
      </c>
      <c r="D54" s="103" t="s">
        <v>19</v>
      </c>
      <c r="E54" s="104" t="s">
        <v>180</v>
      </c>
      <c r="F54" s="105" t="s">
        <v>33</v>
      </c>
      <c r="G54" s="105">
        <f>(0.7*0.7*7*2)+(2*0.7*7*2)</f>
        <v>26.459999999999997</v>
      </c>
      <c r="H54" s="106">
        <v>904.08</v>
      </c>
      <c r="I54" s="107">
        <f t="shared" si="14"/>
        <v>1123.048176</v>
      </c>
      <c r="J54" s="106">
        <f t="shared" si="15"/>
        <v>29715.854736959998</v>
      </c>
    </row>
    <row r="55" spans="2:10" s="12" customFormat="1" ht="25.5" outlineLevel="1" x14ac:dyDescent="0.25">
      <c r="B55" s="101" t="s">
        <v>245</v>
      </c>
      <c r="C55" s="102">
        <v>5909007</v>
      </c>
      <c r="D55" s="103" t="s">
        <v>14</v>
      </c>
      <c r="E55" s="104" t="s">
        <v>53</v>
      </c>
      <c r="F55" s="105" t="s">
        <v>54</v>
      </c>
      <c r="G55" s="105">
        <f>G54*2.5</f>
        <v>66.149999999999991</v>
      </c>
      <c r="H55" s="106">
        <v>25.1</v>
      </c>
      <c r="I55" s="107">
        <f t="shared" si="14"/>
        <v>31.179220000000001</v>
      </c>
      <c r="J55" s="106">
        <f t="shared" si="15"/>
        <v>2062.5054029999997</v>
      </c>
    </row>
    <row r="56" spans="2:10" s="12" customFormat="1" outlineLevel="1" x14ac:dyDescent="0.25">
      <c r="B56" s="101" t="s">
        <v>246</v>
      </c>
      <c r="C56" s="102">
        <v>5914539</v>
      </c>
      <c r="D56" s="103" t="s">
        <v>14</v>
      </c>
      <c r="E56" s="104" t="s">
        <v>55</v>
      </c>
      <c r="F56" s="105" t="s">
        <v>56</v>
      </c>
      <c r="G56" s="105">
        <f>(G54*2.5)*24</f>
        <v>1587.6</v>
      </c>
      <c r="H56" s="106">
        <v>1.37</v>
      </c>
      <c r="I56" s="107">
        <f t="shared" si="14"/>
        <v>1.7018140000000002</v>
      </c>
      <c r="J56" s="106">
        <f t="shared" si="15"/>
        <v>2701.7999064000001</v>
      </c>
    </row>
    <row r="57" spans="2:10" s="12" customFormat="1" outlineLevel="1" x14ac:dyDescent="0.25">
      <c r="B57" s="101" t="s">
        <v>247</v>
      </c>
      <c r="C57" s="102">
        <v>5914569</v>
      </c>
      <c r="D57" s="103" t="s">
        <v>14</v>
      </c>
      <c r="E57" s="104" t="s">
        <v>57</v>
      </c>
      <c r="F57" s="105" t="s">
        <v>56</v>
      </c>
      <c r="G57" s="105">
        <f>(G54*2.5)*48</f>
        <v>3175.2</v>
      </c>
      <c r="H57" s="106">
        <v>0.9</v>
      </c>
      <c r="I57" s="107">
        <f t="shared" si="14"/>
        <v>1.11798</v>
      </c>
      <c r="J57" s="106">
        <f t="shared" si="15"/>
        <v>3549.8100959999997</v>
      </c>
    </row>
    <row r="58" spans="2:10" s="12" customFormat="1" ht="25.5" outlineLevel="1" x14ac:dyDescent="0.25">
      <c r="B58" s="101" t="s">
        <v>297</v>
      </c>
      <c r="C58" s="102">
        <v>3816197</v>
      </c>
      <c r="D58" s="103" t="s">
        <v>14</v>
      </c>
      <c r="E58" s="104" t="s">
        <v>58</v>
      </c>
      <c r="F58" s="105" t="s">
        <v>33</v>
      </c>
      <c r="G58" s="105">
        <f>7*0.3*6*4</f>
        <v>50.400000000000006</v>
      </c>
      <c r="H58" s="106">
        <v>72.95</v>
      </c>
      <c r="I58" s="107">
        <f t="shared" si="14"/>
        <v>90.618490000000008</v>
      </c>
      <c r="J58" s="106">
        <f t="shared" si="15"/>
        <v>4567.1718960000007</v>
      </c>
    </row>
    <row r="59" spans="2:10" s="12" customFormat="1" ht="12.75" customHeight="1" outlineLevel="2" x14ac:dyDescent="0.25">
      <c r="B59" s="110" t="s">
        <v>295</v>
      </c>
      <c r="C59" s="96"/>
      <c r="D59" s="96"/>
      <c r="E59" s="95" t="s">
        <v>282</v>
      </c>
      <c r="F59" s="111"/>
      <c r="G59" s="111"/>
      <c r="H59" s="112"/>
      <c r="I59" s="113"/>
      <c r="J59" s="100">
        <f>SUM(J60:J69)</f>
        <v>363477.40171301097</v>
      </c>
    </row>
    <row r="60" spans="2:10" ht="28.5" customHeight="1" outlineLevel="2" x14ac:dyDescent="0.25">
      <c r="B60" s="101" t="s">
        <v>296</v>
      </c>
      <c r="C60" s="102">
        <v>92266</v>
      </c>
      <c r="D60" s="103" t="s">
        <v>19</v>
      </c>
      <c r="E60" s="104" t="s">
        <v>176</v>
      </c>
      <c r="F60" s="105" t="s">
        <v>25</v>
      </c>
      <c r="G60" s="105">
        <f>(4+7+4+0.3)*2*6*2</f>
        <v>367.20000000000005</v>
      </c>
      <c r="H60" s="106">
        <v>185.1</v>
      </c>
      <c r="I60" s="107">
        <f t="shared" ref="I60:I69" si="18">(H60*$J$4)+H60</f>
        <v>229.93122</v>
      </c>
      <c r="J60" s="106">
        <f>I60*G60</f>
        <v>84430.743984000015</v>
      </c>
    </row>
    <row r="61" spans="2:10" ht="30.75" customHeight="1" outlineLevel="2" x14ac:dyDescent="0.25">
      <c r="B61" s="101" t="s">
        <v>298</v>
      </c>
      <c r="C61" s="102">
        <v>92448</v>
      </c>
      <c r="D61" s="103" t="s">
        <v>19</v>
      </c>
      <c r="E61" s="104" t="s">
        <v>175</v>
      </c>
      <c r="F61" s="105" t="s">
        <v>25</v>
      </c>
      <c r="G61" s="105">
        <f>G60</f>
        <v>367.20000000000005</v>
      </c>
      <c r="H61" s="106">
        <v>165.1</v>
      </c>
      <c r="I61" s="107">
        <f t="shared" si="18"/>
        <v>205.08722</v>
      </c>
      <c r="J61" s="106">
        <f t="shared" ref="J61:J69" si="19">I61*G61</f>
        <v>75308.027184000006</v>
      </c>
    </row>
    <row r="62" spans="2:10" ht="30.75" customHeight="1" outlineLevel="2" x14ac:dyDescent="0.25">
      <c r="B62" s="101" t="s">
        <v>299</v>
      </c>
      <c r="C62" s="102">
        <v>92763</v>
      </c>
      <c r="D62" s="103" t="s">
        <v>19</v>
      </c>
      <c r="E62" s="104" t="s">
        <v>283</v>
      </c>
      <c r="F62" s="105" t="s">
        <v>177</v>
      </c>
      <c r="G62" s="105">
        <f>((20.05*52*2))/12*11.55*1.1</f>
        <v>2207.7055000000005</v>
      </c>
      <c r="H62" s="106">
        <v>8.91</v>
      </c>
      <c r="I62" s="107">
        <f t="shared" si="18"/>
        <v>11.068002</v>
      </c>
      <c r="J62" s="106">
        <f t="shared" si="19"/>
        <v>24434.888889411006</v>
      </c>
    </row>
    <row r="63" spans="2:10" ht="30.75" customHeight="1" outlineLevel="2" x14ac:dyDescent="0.25">
      <c r="B63" s="101" t="s">
        <v>300</v>
      </c>
      <c r="C63" s="102">
        <v>92762</v>
      </c>
      <c r="D63" s="103" t="s">
        <v>19</v>
      </c>
      <c r="E63" s="104" t="s">
        <v>179</v>
      </c>
      <c r="F63" s="105" t="s">
        <v>177</v>
      </c>
      <c r="G63" s="105">
        <f>(78*8*2)/12*7.4</f>
        <v>769.6</v>
      </c>
      <c r="H63" s="106">
        <v>10.65</v>
      </c>
      <c r="I63" s="107">
        <f t="shared" si="18"/>
        <v>13.229430000000001</v>
      </c>
      <c r="J63" s="106">
        <f t="shared" ref="J63:J64" si="20">I63*G63</f>
        <v>10181.369328000001</v>
      </c>
    </row>
    <row r="64" spans="2:10" ht="30.75" customHeight="1" outlineLevel="2" x14ac:dyDescent="0.25">
      <c r="B64" s="101" t="s">
        <v>301</v>
      </c>
      <c r="C64" s="102">
        <v>92761</v>
      </c>
      <c r="D64" s="103" t="s">
        <v>19</v>
      </c>
      <c r="E64" s="104" t="s">
        <v>193</v>
      </c>
      <c r="F64" s="105" t="s">
        <v>177</v>
      </c>
      <c r="G64" s="105">
        <f>(62*15*2)/12*4.74*2</f>
        <v>1469.4</v>
      </c>
      <c r="H64" s="106">
        <v>12.02</v>
      </c>
      <c r="I64" s="107">
        <f t="shared" si="18"/>
        <v>14.931244</v>
      </c>
      <c r="J64" s="106">
        <f t="shared" si="20"/>
        <v>21939.969933600001</v>
      </c>
    </row>
    <row r="65" spans="2:10" ht="25.5" customHeight="1" outlineLevel="2" x14ac:dyDescent="0.25">
      <c r="B65" s="101" t="s">
        <v>302</v>
      </c>
      <c r="C65" s="102">
        <v>96558</v>
      </c>
      <c r="D65" s="103" t="s">
        <v>19</v>
      </c>
      <c r="E65" s="104" t="s">
        <v>180</v>
      </c>
      <c r="F65" s="105" t="s">
        <v>33</v>
      </c>
      <c r="G65" s="105">
        <f>(15*0.55)*6*2</f>
        <v>99</v>
      </c>
      <c r="H65" s="106">
        <v>904.08</v>
      </c>
      <c r="I65" s="107">
        <f t="shared" si="18"/>
        <v>1123.048176</v>
      </c>
      <c r="J65" s="106">
        <f t="shared" si="19"/>
        <v>111181.769424</v>
      </c>
    </row>
    <row r="66" spans="2:10" ht="25.5" customHeight="1" outlineLevel="2" x14ac:dyDescent="0.25">
      <c r="B66" s="101" t="s">
        <v>303</v>
      </c>
      <c r="C66" s="102">
        <v>5909007</v>
      </c>
      <c r="D66" s="103" t="s">
        <v>14</v>
      </c>
      <c r="E66" s="104" t="s">
        <v>53</v>
      </c>
      <c r="F66" s="105" t="s">
        <v>54</v>
      </c>
      <c r="G66" s="105">
        <f>G65*2.5</f>
        <v>247.5</v>
      </c>
      <c r="H66" s="106">
        <v>25.1</v>
      </c>
      <c r="I66" s="107">
        <f t="shared" si="18"/>
        <v>31.179220000000001</v>
      </c>
      <c r="J66" s="106">
        <f t="shared" si="19"/>
        <v>7716.8569500000003</v>
      </c>
    </row>
    <row r="67" spans="2:10" ht="12.75" customHeight="1" outlineLevel="2" x14ac:dyDescent="0.25">
      <c r="B67" s="101" t="s">
        <v>304</v>
      </c>
      <c r="C67" s="102">
        <v>5914539</v>
      </c>
      <c r="D67" s="103" t="s">
        <v>14</v>
      </c>
      <c r="E67" s="104" t="s">
        <v>55</v>
      </c>
      <c r="F67" s="105" t="s">
        <v>56</v>
      </c>
      <c r="G67" s="105">
        <f>(G65*2.5)*24</f>
        <v>5940</v>
      </c>
      <c r="H67" s="106">
        <v>1.37</v>
      </c>
      <c r="I67" s="107">
        <f t="shared" si="18"/>
        <v>1.7018140000000002</v>
      </c>
      <c r="J67" s="106">
        <f t="shared" si="19"/>
        <v>10108.775160000001</v>
      </c>
    </row>
    <row r="68" spans="2:10" ht="12.75" customHeight="1" outlineLevel="2" x14ac:dyDescent="0.25">
      <c r="B68" s="101" t="s">
        <v>305</v>
      </c>
      <c r="C68" s="102">
        <v>5914569</v>
      </c>
      <c r="D68" s="103" t="s">
        <v>14</v>
      </c>
      <c r="E68" s="104" t="s">
        <v>57</v>
      </c>
      <c r="F68" s="105" t="s">
        <v>56</v>
      </c>
      <c r="G68" s="105">
        <f>(G65*2.5)*48</f>
        <v>11880</v>
      </c>
      <c r="H68" s="106">
        <v>0.9</v>
      </c>
      <c r="I68" s="107">
        <f t="shared" si="18"/>
        <v>1.11798</v>
      </c>
      <c r="J68" s="106">
        <f t="shared" si="19"/>
        <v>13281.6024</v>
      </c>
    </row>
    <row r="69" spans="2:10" ht="25.5" customHeight="1" outlineLevel="2" x14ac:dyDescent="0.25">
      <c r="B69" s="101" t="s">
        <v>306</v>
      </c>
      <c r="C69" s="102">
        <v>3816197</v>
      </c>
      <c r="D69" s="103" t="s">
        <v>14</v>
      </c>
      <c r="E69" s="104" t="s">
        <v>58</v>
      </c>
      <c r="F69" s="105" t="s">
        <v>33</v>
      </c>
      <c r="G69" s="105">
        <f>6*15*0.3*2</f>
        <v>54</v>
      </c>
      <c r="H69" s="106">
        <v>72.95</v>
      </c>
      <c r="I69" s="107">
        <f t="shared" si="18"/>
        <v>90.618490000000008</v>
      </c>
      <c r="J69" s="106">
        <f t="shared" si="19"/>
        <v>4893.3984600000003</v>
      </c>
    </row>
    <row r="70" spans="2:10" outlineLevel="1" x14ac:dyDescent="0.25">
      <c r="B70" s="95">
        <v>5</v>
      </c>
      <c r="C70" s="96"/>
      <c r="D70" s="96"/>
      <c r="E70" s="95" t="s">
        <v>39</v>
      </c>
      <c r="F70" s="97"/>
      <c r="G70" s="97"/>
      <c r="H70" s="98"/>
      <c r="I70" s="99"/>
      <c r="J70" s="100">
        <f>J71+J77+J82+J94</f>
        <v>594752.00597734004</v>
      </c>
    </row>
    <row r="71" spans="2:10" ht="12.75" customHeight="1" outlineLevel="2" x14ac:dyDescent="0.25">
      <c r="B71" s="110" t="s">
        <v>210</v>
      </c>
      <c r="C71" s="96"/>
      <c r="D71" s="96"/>
      <c r="E71" s="95" t="s">
        <v>181</v>
      </c>
      <c r="F71" s="114"/>
      <c r="G71" s="114"/>
      <c r="H71" s="98"/>
      <c r="I71" s="99"/>
      <c r="J71" s="100">
        <f>SUM(J72:J76)</f>
        <v>386527.42392000003</v>
      </c>
    </row>
    <row r="72" spans="2:10" ht="25.5" customHeight="1" outlineLevel="2" x14ac:dyDescent="0.25">
      <c r="B72" s="101" t="s">
        <v>248</v>
      </c>
      <c r="C72" s="102" t="s">
        <v>182</v>
      </c>
      <c r="D72" s="103" t="s">
        <v>165</v>
      </c>
      <c r="E72" s="104" t="s">
        <v>151</v>
      </c>
      <c r="F72" s="105" t="s">
        <v>46</v>
      </c>
      <c r="G72" s="105">
        <f>15*12</f>
        <v>180</v>
      </c>
      <c r="H72" s="106">
        <v>1000.12</v>
      </c>
      <c r="I72" s="107">
        <f t="shared" ref="I72:I109" si="21">(H72*$J$4)+H72</f>
        <v>1242.349064</v>
      </c>
      <c r="J72" s="106">
        <f>I72*G72</f>
        <v>223622.83152000001</v>
      </c>
    </row>
    <row r="73" spans="2:10" ht="25.5" customHeight="1" outlineLevel="2" x14ac:dyDescent="0.25">
      <c r="B73" s="101" t="s">
        <v>249</v>
      </c>
      <c r="C73" s="102">
        <v>5915400</v>
      </c>
      <c r="D73" s="103" t="s">
        <v>14</v>
      </c>
      <c r="E73" s="104" t="s">
        <v>59</v>
      </c>
      <c r="F73" s="105" t="s">
        <v>48</v>
      </c>
      <c r="G73" s="105">
        <v>15</v>
      </c>
      <c r="H73" s="106">
        <v>3440</v>
      </c>
      <c r="I73" s="107">
        <f t="shared" si="21"/>
        <v>4273.1679999999997</v>
      </c>
      <c r="J73" s="106">
        <f t="shared" ref="J73:J76" si="22">I73*G73</f>
        <v>64097.52</v>
      </c>
    </row>
    <row r="74" spans="2:10" ht="25.5" customHeight="1" outlineLevel="2" x14ac:dyDescent="0.25">
      <c r="B74" s="101" t="s">
        <v>250</v>
      </c>
      <c r="C74" s="102">
        <v>5915325</v>
      </c>
      <c r="D74" s="103" t="s">
        <v>14</v>
      </c>
      <c r="E74" s="104" t="s">
        <v>60</v>
      </c>
      <c r="F74" s="105" t="s">
        <v>3</v>
      </c>
      <c r="G74" s="105">
        <f>24*3</f>
        <v>72</v>
      </c>
      <c r="H74" s="106">
        <v>91</v>
      </c>
      <c r="I74" s="107">
        <f t="shared" si="21"/>
        <v>113.0402</v>
      </c>
      <c r="J74" s="106">
        <f t="shared" si="22"/>
        <v>8138.8944000000001</v>
      </c>
    </row>
    <row r="75" spans="2:10" ht="25.5" customHeight="1" outlineLevel="2" x14ac:dyDescent="0.25">
      <c r="B75" s="101" t="s">
        <v>251</v>
      </c>
      <c r="C75" s="102">
        <v>5915327</v>
      </c>
      <c r="D75" s="103" t="s">
        <v>14</v>
      </c>
      <c r="E75" s="104" t="s">
        <v>61</v>
      </c>
      <c r="F75" s="105" t="s">
        <v>3</v>
      </c>
      <c r="G75" s="105">
        <f>48*3</f>
        <v>144</v>
      </c>
      <c r="H75" s="106">
        <v>60</v>
      </c>
      <c r="I75" s="107">
        <f>(H75*$J$4)+H75</f>
        <v>74.531999999999996</v>
      </c>
      <c r="J75" s="106">
        <f t="shared" si="22"/>
        <v>10732.608</v>
      </c>
    </row>
    <row r="76" spans="2:10" ht="12.75" customHeight="1" outlineLevel="2" x14ac:dyDescent="0.25">
      <c r="B76" s="101" t="s">
        <v>252</v>
      </c>
      <c r="C76" s="102">
        <v>3806420</v>
      </c>
      <c r="D76" s="103" t="s">
        <v>14</v>
      </c>
      <c r="E76" s="104" t="s">
        <v>62</v>
      </c>
      <c r="F76" s="105" t="s">
        <v>48</v>
      </c>
      <c r="G76" s="105">
        <v>15</v>
      </c>
      <c r="H76" s="106">
        <v>4290</v>
      </c>
      <c r="I76" s="107">
        <f t="shared" si="21"/>
        <v>5329.0380000000005</v>
      </c>
      <c r="J76" s="106">
        <f t="shared" si="22"/>
        <v>79935.570000000007</v>
      </c>
    </row>
    <row r="77" spans="2:10" ht="12.75" customHeight="1" outlineLevel="2" x14ac:dyDescent="0.25">
      <c r="B77" s="110" t="s">
        <v>40</v>
      </c>
      <c r="C77" s="96"/>
      <c r="D77" s="96"/>
      <c r="E77" s="95" t="s">
        <v>183</v>
      </c>
      <c r="F77" s="111"/>
      <c r="G77" s="111"/>
      <c r="H77" s="98"/>
      <c r="I77" s="99"/>
      <c r="J77" s="100">
        <f>SUM(J78:J81)</f>
        <v>71910.262367999996</v>
      </c>
    </row>
    <row r="78" spans="2:10" ht="25.5" customHeight="1" outlineLevel="2" x14ac:dyDescent="0.25">
      <c r="B78" s="101" t="s">
        <v>253</v>
      </c>
      <c r="C78" s="102" t="s">
        <v>203</v>
      </c>
      <c r="D78" s="103" t="s">
        <v>165</v>
      </c>
      <c r="E78" s="104" t="s">
        <v>204</v>
      </c>
      <c r="F78" s="105" t="s">
        <v>25</v>
      </c>
      <c r="G78" s="105">
        <f>7*36</f>
        <v>252</v>
      </c>
      <c r="H78" s="106">
        <v>209.09</v>
      </c>
      <c r="I78" s="107">
        <f t="shared" si="21"/>
        <v>259.73159800000002</v>
      </c>
      <c r="J78" s="106">
        <f t="shared" ref="J78" si="23">I78*G78</f>
        <v>65452.362696000004</v>
      </c>
    </row>
    <row r="79" spans="2:10" ht="12.75" customHeight="1" outlineLevel="2" x14ac:dyDescent="0.25">
      <c r="B79" s="101" t="s">
        <v>254</v>
      </c>
      <c r="C79" s="102">
        <v>100948</v>
      </c>
      <c r="D79" s="103" t="s">
        <v>19</v>
      </c>
      <c r="E79" s="104" t="s">
        <v>205</v>
      </c>
      <c r="F79" s="105" t="s">
        <v>56</v>
      </c>
      <c r="G79" s="105">
        <f>48*25.2</f>
        <v>1209.5999999999999</v>
      </c>
      <c r="H79" s="106">
        <v>0.98</v>
      </c>
      <c r="I79" s="107">
        <f t="shared" si="21"/>
        <v>1.2173559999999999</v>
      </c>
      <c r="J79" s="106">
        <f t="shared" ref="J79:J81" si="24">I79*G79</f>
        <v>1472.5138175999998</v>
      </c>
    </row>
    <row r="80" spans="2:10" ht="12.75" customHeight="1" outlineLevel="2" x14ac:dyDescent="0.25">
      <c r="B80" s="101" t="s">
        <v>255</v>
      </c>
      <c r="C80" s="102">
        <v>100945</v>
      </c>
      <c r="D80" s="103" t="s">
        <v>19</v>
      </c>
      <c r="E80" s="104" t="s">
        <v>173</v>
      </c>
      <c r="F80" s="105" t="s">
        <v>56</v>
      </c>
      <c r="G80" s="105">
        <f>24*25.2</f>
        <v>604.79999999999995</v>
      </c>
      <c r="H80" s="106">
        <v>3.69</v>
      </c>
      <c r="I80" s="107">
        <f t="shared" si="21"/>
        <v>4.5837180000000002</v>
      </c>
      <c r="J80" s="106">
        <f t="shared" si="24"/>
        <v>2772.2326463999998</v>
      </c>
    </row>
    <row r="81" spans="2:10" ht="12.75" customHeight="1" outlineLevel="2" x14ac:dyDescent="0.25">
      <c r="B81" s="101" t="s">
        <v>256</v>
      </c>
      <c r="C81" s="102">
        <v>3806426</v>
      </c>
      <c r="D81" s="103" t="s">
        <v>14</v>
      </c>
      <c r="E81" s="104" t="s">
        <v>63</v>
      </c>
      <c r="F81" s="105" t="s">
        <v>54</v>
      </c>
      <c r="G81" s="105">
        <v>25.2</v>
      </c>
      <c r="H81" s="106">
        <v>70.7</v>
      </c>
      <c r="I81" s="107">
        <f t="shared" si="21"/>
        <v>87.823540000000008</v>
      </c>
      <c r="J81" s="106">
        <f t="shared" si="24"/>
        <v>2213.1532080000002</v>
      </c>
    </row>
    <row r="82" spans="2:10" s="12" customFormat="1" ht="12.75" customHeight="1" outlineLevel="2" x14ac:dyDescent="0.25">
      <c r="B82" s="110" t="s">
        <v>211</v>
      </c>
      <c r="C82" s="96"/>
      <c r="D82" s="96"/>
      <c r="E82" s="95" t="s">
        <v>257</v>
      </c>
      <c r="F82" s="111"/>
      <c r="G82" s="111"/>
      <c r="H82" s="98"/>
      <c r="I82" s="99"/>
      <c r="J82" s="100">
        <f>SUM(J83:J92)</f>
        <v>87358.994341779995</v>
      </c>
    </row>
    <row r="83" spans="2:10" ht="25.5" customHeight="1" outlineLevel="2" x14ac:dyDescent="0.25">
      <c r="B83" s="101" t="s">
        <v>258</v>
      </c>
      <c r="C83" s="102">
        <v>92268</v>
      </c>
      <c r="D83" s="103" t="s">
        <v>19</v>
      </c>
      <c r="E83" s="104" t="s">
        <v>206</v>
      </c>
      <c r="F83" s="105" t="s">
        <v>25</v>
      </c>
      <c r="G83" s="105">
        <f>(7*2*0.22)+(36*2*0.22)</f>
        <v>18.920000000000002</v>
      </c>
      <c r="H83" s="106">
        <v>113.06</v>
      </c>
      <c r="I83" s="107">
        <f t="shared" si="21"/>
        <v>140.44313199999999</v>
      </c>
      <c r="J83" s="106">
        <f t="shared" ref="J83" si="25">I83*G83</f>
        <v>2657.1840574400003</v>
      </c>
    </row>
    <row r="84" spans="2:10" ht="12.75" customHeight="1" outlineLevel="2" x14ac:dyDescent="0.25">
      <c r="B84" s="101" t="s">
        <v>259</v>
      </c>
      <c r="C84" s="102">
        <v>92482</v>
      </c>
      <c r="D84" s="103" t="s">
        <v>19</v>
      </c>
      <c r="E84" s="104" t="s">
        <v>207</v>
      </c>
      <c r="F84" s="105" t="s">
        <v>25</v>
      </c>
      <c r="G84" s="105">
        <f>G83</f>
        <v>18.920000000000002</v>
      </c>
      <c r="H84" s="106">
        <v>341</v>
      </c>
      <c r="I84" s="107">
        <f t="shared" si="21"/>
        <v>423.59019999999998</v>
      </c>
      <c r="J84" s="106">
        <f t="shared" ref="J84:J92" si="26">I84*G84</f>
        <v>8014.3265840000004</v>
      </c>
    </row>
    <row r="85" spans="2:10" ht="30.75" customHeight="1" outlineLevel="2" x14ac:dyDescent="0.25">
      <c r="B85" s="101" t="s">
        <v>260</v>
      </c>
      <c r="C85" s="102">
        <v>92770</v>
      </c>
      <c r="D85" s="103" t="s">
        <v>19</v>
      </c>
      <c r="E85" s="104" t="s">
        <v>208</v>
      </c>
      <c r="F85" s="105" t="s">
        <v>52</v>
      </c>
      <c r="G85" s="105">
        <f>((1080)/12*4.74)</f>
        <v>426.6</v>
      </c>
      <c r="H85" s="106">
        <v>11.45</v>
      </c>
      <c r="I85" s="107">
        <f t="shared" si="21"/>
        <v>14.223189999999999</v>
      </c>
      <c r="J85" s="106">
        <f t="shared" si="26"/>
        <v>6067.612854</v>
      </c>
    </row>
    <row r="86" spans="2:10" ht="25.5" customHeight="1" outlineLevel="2" x14ac:dyDescent="0.25">
      <c r="B86" s="101" t="s">
        <v>261</v>
      </c>
      <c r="C86" s="102">
        <v>92768</v>
      </c>
      <c r="D86" s="103" t="s">
        <v>19</v>
      </c>
      <c r="E86" s="104" t="s">
        <v>209</v>
      </c>
      <c r="F86" s="105" t="s">
        <v>52</v>
      </c>
      <c r="G86" s="105">
        <f>((36*36)/12*1.85)</f>
        <v>199.8</v>
      </c>
      <c r="H86" s="106">
        <v>13.3</v>
      </c>
      <c r="I86" s="107">
        <f t="shared" si="21"/>
        <v>16.521260000000002</v>
      </c>
      <c r="J86" s="106">
        <f t="shared" si="26"/>
        <v>3300.9477480000005</v>
      </c>
    </row>
    <row r="87" spans="2:10" ht="25.5" customHeight="1" outlineLevel="2" x14ac:dyDescent="0.25">
      <c r="B87" s="101" t="s">
        <v>262</v>
      </c>
      <c r="C87" s="102">
        <v>92763</v>
      </c>
      <c r="D87" s="103" t="s">
        <v>19</v>
      </c>
      <c r="E87" s="104" t="s">
        <v>283</v>
      </c>
      <c r="F87" s="105" t="s">
        <v>177</v>
      </c>
      <c r="G87" s="105">
        <f>((4*7*2))/12*11.55*1.1</f>
        <v>59.290000000000013</v>
      </c>
      <c r="H87" s="106">
        <v>8.91</v>
      </c>
      <c r="I87" s="107">
        <f t="shared" si="21"/>
        <v>11.068002</v>
      </c>
      <c r="J87" s="106">
        <f t="shared" si="26"/>
        <v>656.22183858000017</v>
      </c>
    </row>
    <row r="88" spans="2:10" ht="25.5" customHeight="1" outlineLevel="2" x14ac:dyDescent="0.25">
      <c r="B88" s="101" t="s">
        <v>263</v>
      </c>
      <c r="C88" s="102">
        <v>92762</v>
      </c>
      <c r="D88" s="103" t="s">
        <v>19</v>
      </c>
      <c r="E88" s="104" t="s">
        <v>179</v>
      </c>
      <c r="F88" s="105" t="s">
        <v>177</v>
      </c>
      <c r="G88" s="105">
        <f>(180)/12*7.4</f>
        <v>111</v>
      </c>
      <c r="H88" s="106">
        <v>10.65</v>
      </c>
      <c r="I88" s="107">
        <f t="shared" si="21"/>
        <v>13.229430000000001</v>
      </c>
      <c r="J88" s="106">
        <f t="shared" si="26"/>
        <v>1468.4667300000001</v>
      </c>
    </row>
    <row r="89" spans="2:10" ht="25.5" customHeight="1" outlineLevel="2" x14ac:dyDescent="0.25">
      <c r="B89" s="101" t="s">
        <v>264</v>
      </c>
      <c r="C89" s="102">
        <v>96558</v>
      </c>
      <c r="D89" s="103" t="s">
        <v>19</v>
      </c>
      <c r="E89" s="104" t="s">
        <v>180</v>
      </c>
      <c r="F89" s="105" t="s">
        <v>33</v>
      </c>
      <c r="G89" s="105">
        <f>G78*0.18</f>
        <v>45.36</v>
      </c>
      <c r="H89" s="106">
        <v>904.08</v>
      </c>
      <c r="I89" s="107">
        <f t="shared" si="21"/>
        <v>1123.048176</v>
      </c>
      <c r="J89" s="106">
        <f t="shared" si="26"/>
        <v>50941.465263359998</v>
      </c>
    </row>
    <row r="90" spans="2:10" ht="25.5" customHeight="1" outlineLevel="2" x14ac:dyDescent="0.25">
      <c r="B90" s="101" t="s">
        <v>265</v>
      </c>
      <c r="C90" s="102">
        <v>5909007</v>
      </c>
      <c r="D90" s="103" t="s">
        <v>14</v>
      </c>
      <c r="E90" s="104" t="s">
        <v>53</v>
      </c>
      <c r="F90" s="105" t="s">
        <v>54</v>
      </c>
      <c r="G90" s="105">
        <f>G89*2.5</f>
        <v>113.4</v>
      </c>
      <c r="H90" s="106">
        <v>25.1</v>
      </c>
      <c r="I90" s="107">
        <f t="shared" ref="I90" si="27">(H90*$J$4)+H90</f>
        <v>31.179220000000001</v>
      </c>
      <c r="J90" s="106">
        <f t="shared" ref="J90" si="28">I90*G90</f>
        <v>3535.7235480000004</v>
      </c>
    </row>
    <row r="91" spans="2:10" ht="12.75" customHeight="1" outlineLevel="2" x14ac:dyDescent="0.25">
      <c r="B91" s="101" t="s">
        <v>307</v>
      </c>
      <c r="C91" s="102">
        <v>5914539</v>
      </c>
      <c r="D91" s="103" t="s">
        <v>14</v>
      </c>
      <c r="E91" s="104" t="s">
        <v>55</v>
      </c>
      <c r="F91" s="105" t="s">
        <v>56</v>
      </c>
      <c r="G91" s="105">
        <f>(G89*2.5)*24</f>
        <v>2721.6000000000004</v>
      </c>
      <c r="H91" s="106">
        <v>1.37</v>
      </c>
      <c r="I91" s="107">
        <f t="shared" si="21"/>
        <v>1.7018140000000002</v>
      </c>
      <c r="J91" s="106">
        <f t="shared" si="26"/>
        <v>4631.6569824000007</v>
      </c>
    </row>
    <row r="92" spans="2:10" ht="25.5" customHeight="1" outlineLevel="2" x14ac:dyDescent="0.25">
      <c r="B92" s="101" t="s">
        <v>308</v>
      </c>
      <c r="C92" s="102">
        <v>5914569</v>
      </c>
      <c r="D92" s="103" t="s">
        <v>14</v>
      </c>
      <c r="E92" s="104" t="s">
        <v>57</v>
      </c>
      <c r="F92" s="105" t="s">
        <v>56</v>
      </c>
      <c r="G92" s="105">
        <f>(G89*2.5)*48</f>
        <v>5443.2000000000007</v>
      </c>
      <c r="H92" s="106">
        <v>0.9</v>
      </c>
      <c r="I92" s="107">
        <f t="shared" si="21"/>
        <v>1.11798</v>
      </c>
      <c r="J92" s="106">
        <f t="shared" si="26"/>
        <v>6085.3887360000008</v>
      </c>
    </row>
    <row r="93" spans="2:10" ht="25.5" customHeight="1" outlineLevel="2" x14ac:dyDescent="0.25">
      <c r="B93" s="101"/>
      <c r="C93" s="102"/>
      <c r="D93" s="103"/>
      <c r="E93" s="104"/>
      <c r="F93" s="105"/>
      <c r="G93" s="105"/>
      <c r="H93" s="106"/>
      <c r="I93" s="107"/>
      <c r="J93" s="106"/>
    </row>
    <row r="94" spans="2:10" ht="25.5" customHeight="1" outlineLevel="2" x14ac:dyDescent="0.25">
      <c r="B94" s="110" t="s">
        <v>212</v>
      </c>
      <c r="C94" s="96"/>
      <c r="D94" s="96"/>
      <c r="E94" s="95" t="s">
        <v>184</v>
      </c>
      <c r="F94" s="111"/>
      <c r="G94" s="111"/>
      <c r="H94" s="98"/>
      <c r="I94" s="99"/>
      <c r="J94" s="100">
        <f>SUM(J95:J101)</f>
        <v>48955.325347559999</v>
      </c>
    </row>
    <row r="95" spans="2:10" ht="25.5" customHeight="1" outlineLevel="2" x14ac:dyDescent="0.25">
      <c r="B95" s="101" t="s">
        <v>266</v>
      </c>
      <c r="C95" s="102">
        <v>92266</v>
      </c>
      <c r="D95" s="103" t="s">
        <v>19</v>
      </c>
      <c r="E95" s="104" t="s">
        <v>176</v>
      </c>
      <c r="F95" s="105" t="s">
        <v>25</v>
      </c>
      <c r="G95" s="105">
        <f>(15*0.7*2*2)+(7*0.7*2*2)</f>
        <v>61.599999999999994</v>
      </c>
      <c r="H95" s="106">
        <v>185.1</v>
      </c>
      <c r="I95" s="107">
        <f t="shared" si="21"/>
        <v>229.93122</v>
      </c>
      <c r="J95" s="106">
        <f t="shared" ref="J95:J106" si="29">I95*G95</f>
        <v>14163.763151999998</v>
      </c>
    </row>
    <row r="96" spans="2:10" ht="25.5" customHeight="1" outlineLevel="2" x14ac:dyDescent="0.25">
      <c r="B96" s="101" t="s">
        <v>267</v>
      </c>
      <c r="C96" s="102">
        <v>92448</v>
      </c>
      <c r="D96" s="103" t="s">
        <v>19</v>
      </c>
      <c r="E96" s="104" t="s">
        <v>175</v>
      </c>
      <c r="F96" s="105" t="s">
        <v>25</v>
      </c>
      <c r="G96" s="105">
        <f>G95</f>
        <v>61.599999999999994</v>
      </c>
      <c r="H96" s="106">
        <v>165.1</v>
      </c>
      <c r="I96" s="107">
        <f t="shared" si="21"/>
        <v>205.08722</v>
      </c>
      <c r="J96" s="106">
        <f t="shared" si="29"/>
        <v>12633.372751999999</v>
      </c>
    </row>
    <row r="97" spans="2:10" ht="31.5" customHeight="1" outlineLevel="2" x14ac:dyDescent="0.25">
      <c r="B97" s="101" t="s">
        <v>268</v>
      </c>
      <c r="C97" s="102">
        <v>92761</v>
      </c>
      <c r="D97" s="103" t="s">
        <v>19</v>
      </c>
      <c r="E97" s="104" t="s">
        <v>193</v>
      </c>
      <c r="F97" s="105" t="s">
        <v>177</v>
      </c>
      <c r="G97" s="105">
        <f>((60*1*2*2)+(4*12.5*2*2)+(4*6.25*2)+(30*1*2))/12*4.74</f>
        <v>217.25000000000003</v>
      </c>
      <c r="H97" s="106">
        <v>12.02</v>
      </c>
      <c r="I97" s="107">
        <f t="shared" si="21"/>
        <v>14.931244</v>
      </c>
      <c r="J97" s="106">
        <f t="shared" si="29"/>
        <v>3243.8127590000004</v>
      </c>
    </row>
    <row r="98" spans="2:10" ht="25.5" customHeight="1" outlineLevel="2" x14ac:dyDescent="0.25">
      <c r="B98" s="101" t="s">
        <v>269</v>
      </c>
      <c r="C98" s="102">
        <v>96558</v>
      </c>
      <c r="D98" s="103" t="s">
        <v>19</v>
      </c>
      <c r="E98" s="104" t="s">
        <v>180</v>
      </c>
      <c r="F98" s="105" t="s">
        <v>33</v>
      </c>
      <c r="G98" s="105">
        <f>(15*0.7*0.3*2)+(7*0.7*0.7*2)</f>
        <v>13.159999999999998</v>
      </c>
      <c r="H98" s="106">
        <v>904.08</v>
      </c>
      <c r="I98" s="107">
        <f t="shared" si="21"/>
        <v>1123.048176</v>
      </c>
      <c r="J98" s="106">
        <f t="shared" si="29"/>
        <v>14779.313996159999</v>
      </c>
    </row>
    <row r="99" spans="2:10" ht="25.5" customHeight="1" outlineLevel="2" x14ac:dyDescent="0.25">
      <c r="B99" s="101" t="s">
        <v>270</v>
      </c>
      <c r="C99" s="102">
        <v>5914539</v>
      </c>
      <c r="D99" s="103" t="s">
        <v>14</v>
      </c>
      <c r="E99" s="104" t="s">
        <v>55</v>
      </c>
      <c r="F99" s="105" t="s">
        <v>56</v>
      </c>
      <c r="G99" s="105">
        <f>(G98*2.5)*24</f>
        <v>789.59999999999991</v>
      </c>
      <c r="H99" s="106">
        <v>1.37</v>
      </c>
      <c r="I99" s="107">
        <f t="shared" si="21"/>
        <v>1.7018140000000002</v>
      </c>
      <c r="J99" s="106">
        <f t="shared" si="29"/>
        <v>1343.7523343999999</v>
      </c>
    </row>
    <row r="100" spans="2:10" ht="25.5" customHeight="1" outlineLevel="2" x14ac:dyDescent="0.25">
      <c r="B100" s="101" t="s">
        <v>271</v>
      </c>
      <c r="C100" s="102">
        <v>5914569</v>
      </c>
      <c r="D100" s="103" t="s">
        <v>14</v>
      </c>
      <c r="E100" s="104" t="s">
        <v>57</v>
      </c>
      <c r="F100" s="105" t="s">
        <v>56</v>
      </c>
      <c r="G100" s="105">
        <f>(G98*2.5)*48</f>
        <v>1579.1999999999998</v>
      </c>
      <c r="H100" s="106">
        <v>0.9</v>
      </c>
      <c r="I100" s="107">
        <f t="shared" si="21"/>
        <v>1.11798</v>
      </c>
      <c r="J100" s="106">
        <f t="shared" si="29"/>
        <v>1765.5140159999999</v>
      </c>
    </row>
    <row r="101" spans="2:10" ht="25.5" customHeight="1" outlineLevel="2" x14ac:dyDescent="0.25">
      <c r="B101" s="101" t="s">
        <v>272</v>
      </c>
      <c r="C101" s="102">
        <v>5909007</v>
      </c>
      <c r="D101" s="103" t="s">
        <v>14</v>
      </c>
      <c r="E101" s="104" t="s">
        <v>53</v>
      </c>
      <c r="F101" s="105" t="s">
        <v>54</v>
      </c>
      <c r="G101" s="105">
        <f>G98*2.5</f>
        <v>32.9</v>
      </c>
      <c r="H101" s="106">
        <v>25.1</v>
      </c>
      <c r="I101" s="107">
        <f t="shared" si="21"/>
        <v>31.179220000000001</v>
      </c>
      <c r="J101" s="106">
        <f t="shared" si="29"/>
        <v>1025.7963379999999</v>
      </c>
    </row>
    <row r="102" spans="2:10" ht="25.5" customHeight="1" outlineLevel="2" x14ac:dyDescent="0.25">
      <c r="B102" s="95">
        <v>6</v>
      </c>
      <c r="C102" s="96"/>
      <c r="D102" s="96"/>
      <c r="E102" s="95" t="s">
        <v>42</v>
      </c>
      <c r="F102" s="97"/>
      <c r="G102" s="97"/>
      <c r="H102" s="98"/>
      <c r="I102" s="99"/>
      <c r="J102" s="100">
        <f>SUM(J103:J109)</f>
        <v>50734.806908799997</v>
      </c>
    </row>
    <row r="103" spans="2:10" ht="25.5" customHeight="1" outlineLevel="2" x14ac:dyDescent="0.25">
      <c r="B103" s="104" t="s">
        <v>273</v>
      </c>
      <c r="C103" s="102" t="s">
        <v>213</v>
      </c>
      <c r="D103" s="103" t="s">
        <v>165</v>
      </c>
      <c r="E103" s="104" t="s">
        <v>214</v>
      </c>
      <c r="F103" s="97" t="s">
        <v>46</v>
      </c>
      <c r="G103" s="97">
        <v>72</v>
      </c>
      <c r="H103" s="98">
        <v>81.83</v>
      </c>
      <c r="I103" s="107">
        <f t="shared" ref="I103" si="30">(H103*$J$4)+H103</f>
        <v>101.649226</v>
      </c>
      <c r="J103" s="106">
        <f>I103*G103</f>
        <v>7318.7442719999999</v>
      </c>
    </row>
    <row r="104" spans="2:10" ht="48" customHeight="1" outlineLevel="2" x14ac:dyDescent="0.25">
      <c r="B104" s="104" t="s">
        <v>274</v>
      </c>
      <c r="C104" s="102">
        <v>106220</v>
      </c>
      <c r="D104" s="103" t="s">
        <v>19</v>
      </c>
      <c r="E104" s="104" t="s">
        <v>361</v>
      </c>
      <c r="F104" s="105" t="s">
        <v>49</v>
      </c>
      <c r="G104" s="105">
        <v>72</v>
      </c>
      <c r="H104" s="106">
        <v>411.5</v>
      </c>
      <c r="I104" s="107">
        <f t="shared" si="21"/>
        <v>511.1653</v>
      </c>
      <c r="J104" s="106">
        <f t="shared" si="29"/>
        <v>36803.901599999997</v>
      </c>
    </row>
    <row r="105" spans="2:10" ht="25.5" customHeight="1" outlineLevel="2" x14ac:dyDescent="0.25">
      <c r="B105" s="104" t="s">
        <v>275</v>
      </c>
      <c r="C105" s="102">
        <v>100725</v>
      </c>
      <c r="D105" s="103" t="s">
        <v>19</v>
      </c>
      <c r="E105" s="104" t="s">
        <v>41</v>
      </c>
      <c r="F105" s="105" t="s">
        <v>44</v>
      </c>
      <c r="G105" s="105">
        <f>44*2*0.7</f>
        <v>61.599999999999994</v>
      </c>
      <c r="H105" s="106">
        <v>27.84</v>
      </c>
      <c r="I105" s="107">
        <f t="shared" si="21"/>
        <v>34.582847999999998</v>
      </c>
      <c r="J105" s="106">
        <f t="shared" si="29"/>
        <v>2130.3034367999999</v>
      </c>
    </row>
    <row r="106" spans="2:10" ht="25.5" customHeight="1" outlineLevel="2" x14ac:dyDescent="0.25">
      <c r="B106" s="104" t="s">
        <v>276</v>
      </c>
      <c r="C106" s="102">
        <v>34723</v>
      </c>
      <c r="D106" s="103" t="s">
        <v>215</v>
      </c>
      <c r="E106" s="104" t="s">
        <v>216</v>
      </c>
      <c r="F106" s="105" t="s">
        <v>139</v>
      </c>
      <c r="G106" s="105">
        <v>2.88</v>
      </c>
      <c r="H106" s="106">
        <v>500</v>
      </c>
      <c r="I106" s="107">
        <f t="shared" si="21"/>
        <v>621.1</v>
      </c>
      <c r="J106" s="106">
        <f t="shared" si="29"/>
        <v>1788.768</v>
      </c>
    </row>
    <row r="107" spans="2:10" ht="25.5" customHeight="1" outlineLevel="2" x14ac:dyDescent="0.25">
      <c r="B107" s="104" t="s">
        <v>277</v>
      </c>
      <c r="C107" s="102">
        <v>103695</v>
      </c>
      <c r="D107" s="103" t="s">
        <v>19</v>
      </c>
      <c r="E107" s="104" t="s">
        <v>167</v>
      </c>
      <c r="F107" s="105" t="s">
        <v>48</v>
      </c>
      <c r="G107" s="105">
        <v>8</v>
      </c>
      <c r="H107" s="106">
        <v>101.44</v>
      </c>
      <c r="I107" s="107">
        <f t="shared" ref="I107" si="31">(H107*$J$4)+H107</f>
        <v>126.008768</v>
      </c>
      <c r="J107" s="106">
        <f t="shared" ref="J107" si="32">I107*G107</f>
        <v>1008.070144</v>
      </c>
    </row>
    <row r="108" spans="2:10" ht="12.75" customHeight="1" outlineLevel="2" x14ac:dyDescent="0.25">
      <c r="B108" s="104" t="s">
        <v>278</v>
      </c>
      <c r="C108" s="102">
        <v>2007971</v>
      </c>
      <c r="D108" s="103" t="s">
        <v>14</v>
      </c>
      <c r="E108" s="104" t="s">
        <v>64</v>
      </c>
      <c r="F108" s="105" t="s">
        <v>46</v>
      </c>
      <c r="G108" s="105">
        <v>10</v>
      </c>
      <c r="H108" s="106">
        <v>91.8</v>
      </c>
      <c r="I108" s="107">
        <f t="shared" si="21"/>
        <v>114.03395999999999</v>
      </c>
      <c r="J108" s="106">
        <f t="shared" ref="J108" si="33">I108*G108</f>
        <v>1140.3396</v>
      </c>
    </row>
    <row r="109" spans="2:10" ht="12.75" customHeight="1" outlineLevel="2" x14ac:dyDescent="0.25">
      <c r="B109" s="104" t="s">
        <v>279</v>
      </c>
      <c r="C109" s="102">
        <v>99814</v>
      </c>
      <c r="D109" s="103" t="s">
        <v>19</v>
      </c>
      <c r="E109" s="104" t="s">
        <v>43</v>
      </c>
      <c r="F109" s="105" t="s">
        <v>44</v>
      </c>
      <c r="G109" s="105">
        <f>7*36</f>
        <v>252</v>
      </c>
      <c r="H109" s="106">
        <v>1.74</v>
      </c>
      <c r="I109" s="107">
        <f t="shared" si="21"/>
        <v>2.1614279999999999</v>
      </c>
      <c r="J109" s="106">
        <f t="shared" ref="J109" si="34">I109*G109</f>
        <v>544.67985599999997</v>
      </c>
    </row>
    <row r="111" spans="2:10" x14ac:dyDescent="0.25">
      <c r="B111" s="12" t="s">
        <v>45</v>
      </c>
    </row>
    <row r="114" spans="3:10" x14ac:dyDescent="0.2">
      <c r="C114" s="170" t="s">
        <v>359</v>
      </c>
      <c r="D114" s="170"/>
      <c r="E114" s="170"/>
      <c r="F114" s="170"/>
      <c r="G114" s="170"/>
      <c r="H114" s="170"/>
      <c r="I114" s="170"/>
      <c r="J114" s="54"/>
    </row>
    <row r="115" spans="3:10" x14ac:dyDescent="0.25">
      <c r="C115" s="53"/>
      <c r="D115" s="53"/>
      <c r="E115" s="53"/>
      <c r="F115" s="53"/>
      <c r="G115" s="53"/>
      <c r="H115" s="53"/>
      <c r="I115" s="53"/>
      <c r="J115" s="56"/>
    </row>
    <row r="116" spans="3:10" x14ac:dyDescent="0.25">
      <c r="C116" s="53"/>
      <c r="D116" s="53"/>
      <c r="E116" s="53"/>
      <c r="F116" s="53"/>
      <c r="G116" s="53"/>
      <c r="H116" s="53"/>
      <c r="I116" s="53"/>
    </row>
    <row r="117" spans="3:10" ht="14.25" x14ac:dyDescent="0.2">
      <c r="C117" s="30"/>
      <c r="D117" s="30"/>
      <c r="E117" s="30"/>
      <c r="F117" s="34"/>
      <c r="G117" s="34"/>
      <c r="H117" s="34"/>
      <c r="I117" s="34"/>
    </row>
    <row r="118" spans="3:10" ht="14.25" x14ac:dyDescent="0.2">
      <c r="C118" s="30"/>
      <c r="D118" s="30"/>
      <c r="E118" s="30"/>
      <c r="F118" s="34"/>
      <c r="G118" s="15"/>
      <c r="H118" s="15"/>
      <c r="I118" s="15"/>
    </row>
    <row r="119" spans="3:10" ht="14.25" x14ac:dyDescent="0.2">
      <c r="C119" s="30"/>
      <c r="D119" s="30"/>
      <c r="E119" s="30"/>
      <c r="F119" s="34"/>
      <c r="G119" s="164" t="s">
        <v>125</v>
      </c>
      <c r="H119" s="164"/>
      <c r="I119" s="164"/>
    </row>
    <row r="120" spans="3:10" ht="14.25" x14ac:dyDescent="0.2">
      <c r="C120" s="30"/>
      <c r="D120" s="30"/>
      <c r="E120" s="30"/>
      <c r="F120" s="34"/>
      <c r="G120" s="165" t="s">
        <v>126</v>
      </c>
      <c r="H120" s="165"/>
      <c r="I120" s="165"/>
    </row>
    <row r="121" spans="3:10" ht="14.25" x14ac:dyDescent="0.2">
      <c r="C121" s="30"/>
      <c r="D121" s="30"/>
      <c r="E121" s="30"/>
      <c r="F121" s="34"/>
      <c r="G121" s="165" t="s">
        <v>127</v>
      </c>
      <c r="H121" s="165"/>
      <c r="I121" s="165"/>
    </row>
  </sheetData>
  <mergeCells count="6">
    <mergeCell ref="G119:I119"/>
    <mergeCell ref="G120:I120"/>
    <mergeCell ref="G121:I121"/>
    <mergeCell ref="B2:J2"/>
    <mergeCell ref="B9:I9"/>
    <mergeCell ref="C114:I114"/>
  </mergeCells>
  <pageMargins left="0.511811024" right="0.511811024" top="0.78740157499999996" bottom="0.78740157499999996" header="0.31496062000000002" footer="0.31496062000000002"/>
  <pageSetup paperSize="9" scale="71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7"/>
  <sheetViews>
    <sheetView tabSelected="1" workbookViewId="0">
      <selection activeCell="B21" sqref="B21"/>
    </sheetView>
  </sheetViews>
  <sheetFormatPr defaultColWidth="9.140625" defaultRowHeight="14.25" x14ac:dyDescent="0.2"/>
  <cols>
    <col min="1" max="1" width="4.28515625" style="30" customWidth="1"/>
    <col min="2" max="2" width="9.28515625" style="30" bestFit="1" customWidth="1"/>
    <col min="3" max="3" width="45.5703125" style="30" customWidth="1"/>
    <col min="4" max="4" width="13.5703125" style="30" bestFit="1" customWidth="1"/>
    <col min="5" max="7" width="12.140625" style="34" bestFit="1" customWidth="1"/>
    <col min="8" max="10" width="12.140625" style="34" customWidth="1"/>
    <col min="11" max="11" width="9.140625" style="30"/>
    <col min="12" max="12" width="16.140625" style="30" bestFit="1" customWidth="1"/>
    <col min="13" max="16384" width="9.140625" style="30"/>
  </cols>
  <sheetData>
    <row r="1" spans="2:10" x14ac:dyDescent="0.2">
      <c r="B1" s="171"/>
      <c r="C1" s="171"/>
      <c r="D1" s="171"/>
      <c r="E1" s="171"/>
      <c r="F1" s="171"/>
      <c r="G1" s="171"/>
      <c r="H1" s="77"/>
      <c r="I1" s="83"/>
      <c r="J1" s="31"/>
    </row>
    <row r="2" spans="2:10" x14ac:dyDescent="0.2">
      <c r="B2" s="174" t="s">
        <v>66</v>
      </c>
      <c r="C2" s="174"/>
      <c r="D2" s="174"/>
      <c r="E2" s="174"/>
      <c r="F2" s="174"/>
      <c r="G2" s="174"/>
      <c r="H2" s="174"/>
      <c r="I2" s="174"/>
      <c r="J2" s="174"/>
    </row>
    <row r="3" spans="2:10" x14ac:dyDescent="0.2">
      <c r="B3" s="31"/>
      <c r="C3" s="31"/>
      <c r="D3" s="31"/>
      <c r="E3" s="31"/>
      <c r="F3" s="31"/>
      <c r="G3" s="31"/>
      <c r="H3" s="77"/>
      <c r="I3" s="83"/>
      <c r="J3" s="31"/>
    </row>
    <row r="4" spans="2:10" x14ac:dyDescent="0.2">
      <c r="B4" s="174" t="s">
        <v>121</v>
      </c>
      <c r="C4" s="174"/>
      <c r="D4" s="174"/>
      <c r="E4" s="174"/>
      <c r="F4" s="174"/>
      <c r="G4" s="174"/>
      <c r="H4" s="174"/>
      <c r="I4" s="174"/>
      <c r="J4" s="174"/>
    </row>
    <row r="5" spans="2:10" x14ac:dyDescent="0.2">
      <c r="B5" s="175" t="s">
        <v>309</v>
      </c>
      <c r="C5" s="175"/>
      <c r="D5" s="175"/>
      <c r="E5" s="175"/>
      <c r="F5" s="175"/>
      <c r="G5" s="175"/>
      <c r="H5" s="175"/>
      <c r="I5" s="175"/>
      <c r="J5" s="175"/>
    </row>
    <row r="6" spans="2:10" x14ac:dyDescent="0.2">
      <c r="B6" s="31"/>
      <c r="C6" s="31"/>
      <c r="D6" s="31"/>
      <c r="E6" s="31"/>
      <c r="F6" s="31"/>
      <c r="G6" s="31"/>
      <c r="H6" s="77"/>
      <c r="I6" s="83"/>
      <c r="J6" s="31"/>
    </row>
    <row r="7" spans="2:10" x14ac:dyDescent="0.2">
      <c r="B7" s="172" t="s">
        <v>66</v>
      </c>
      <c r="C7" s="172"/>
      <c r="D7" s="172"/>
      <c r="E7" s="172"/>
      <c r="F7" s="172"/>
      <c r="G7" s="172"/>
      <c r="H7" s="172"/>
      <c r="I7" s="172"/>
      <c r="J7" s="172"/>
    </row>
    <row r="8" spans="2:10" x14ac:dyDescent="0.2">
      <c r="B8" s="173" t="s">
        <v>121</v>
      </c>
      <c r="C8" s="173"/>
      <c r="D8" s="173"/>
      <c r="E8" s="173"/>
      <c r="F8" s="173"/>
      <c r="G8" s="173"/>
      <c r="H8" s="173"/>
      <c r="I8" s="173"/>
      <c r="J8" s="173"/>
    </row>
    <row r="9" spans="2:10" x14ac:dyDescent="0.2">
      <c r="B9" s="176" t="s">
        <v>360</v>
      </c>
      <c r="C9" s="176"/>
      <c r="D9" s="176"/>
      <c r="E9" s="176"/>
      <c r="F9" s="176"/>
      <c r="G9" s="176"/>
      <c r="H9" s="176"/>
      <c r="I9" s="176"/>
      <c r="J9" s="176"/>
    </row>
    <row r="10" spans="2:10" s="32" customFormat="1" x14ac:dyDescent="0.2">
      <c r="B10" s="115" t="s">
        <v>67</v>
      </c>
      <c r="C10" s="116" t="s">
        <v>68</v>
      </c>
      <c r="D10" s="117" t="s">
        <v>69</v>
      </c>
      <c r="E10" s="118" t="s">
        <v>70</v>
      </c>
      <c r="F10" s="118" t="s">
        <v>71</v>
      </c>
      <c r="G10" s="118" t="s">
        <v>72</v>
      </c>
      <c r="H10" s="118" t="s">
        <v>73</v>
      </c>
      <c r="I10" s="118" t="s">
        <v>280</v>
      </c>
      <c r="J10" s="118" t="s">
        <v>310</v>
      </c>
    </row>
    <row r="11" spans="2:10" s="32" customFormat="1" x14ac:dyDescent="0.2">
      <c r="B11" s="119">
        <v>1</v>
      </c>
      <c r="C11" s="120" t="s">
        <v>12</v>
      </c>
      <c r="D11" s="121">
        <f>ORÇAMENTO!J10</f>
        <v>130132.872</v>
      </c>
      <c r="E11" s="122">
        <f>D11*0.2</f>
        <v>26026.574400000001</v>
      </c>
      <c r="F11" s="122">
        <f>D11*0.2</f>
        <v>26026.574400000001</v>
      </c>
      <c r="G11" s="122">
        <f>D11*0.2</f>
        <v>26026.574400000001</v>
      </c>
      <c r="H11" s="122">
        <f>D11*0.1</f>
        <v>13013.287200000001</v>
      </c>
      <c r="I11" s="122">
        <f>D11*0.1</f>
        <v>13013.287200000001</v>
      </c>
      <c r="J11" s="122">
        <f>D11*0.2</f>
        <v>26026.574400000001</v>
      </c>
    </row>
    <row r="12" spans="2:10" s="33" customFormat="1" x14ac:dyDescent="0.25">
      <c r="B12" s="123">
        <v>2</v>
      </c>
      <c r="C12" s="120" t="s">
        <v>15</v>
      </c>
      <c r="D12" s="121">
        <f>ORÇAMENTO!J12</f>
        <v>56197.470847199998</v>
      </c>
      <c r="E12" s="122">
        <f>D12*0.5</f>
        <v>28098.735423599999</v>
      </c>
      <c r="F12" s="122">
        <f>D12*0.1</f>
        <v>5619.7470847200002</v>
      </c>
      <c r="G12" s="122">
        <f>D12*0.1</f>
        <v>5619.7470847200002</v>
      </c>
      <c r="H12" s="122">
        <f>D12*0.1</f>
        <v>5619.7470847200002</v>
      </c>
      <c r="I12" s="122">
        <f>D12*0.1</f>
        <v>5619.7470847200002</v>
      </c>
      <c r="J12" s="122">
        <f>D12*0.1</f>
        <v>5619.7470847200002</v>
      </c>
    </row>
    <row r="13" spans="2:10" s="33" customFormat="1" x14ac:dyDescent="0.25">
      <c r="B13" s="123">
        <v>3</v>
      </c>
      <c r="C13" s="120" t="str">
        <f>ORÇAMENTO!E22</f>
        <v>INFRAESTRUTURA</v>
      </c>
      <c r="D13" s="124">
        <f>ORÇAMENTO!J22</f>
        <v>226001.98210027203</v>
      </c>
      <c r="E13" s="122">
        <f>D13*1</f>
        <v>226001.98210027203</v>
      </c>
      <c r="F13" s="122"/>
      <c r="G13" s="122"/>
      <c r="H13" s="122"/>
      <c r="I13" s="122"/>
      <c r="J13" s="122"/>
    </row>
    <row r="14" spans="2:10" s="33" customFormat="1" x14ac:dyDescent="0.25">
      <c r="B14" s="119">
        <v>4</v>
      </c>
      <c r="C14" s="125" t="s">
        <v>26</v>
      </c>
      <c r="D14" s="121">
        <f>ORÇAMENTO!J37</f>
        <v>497677.06774796743</v>
      </c>
      <c r="E14" s="122"/>
      <c r="F14" s="122">
        <f>D14*0.7</f>
        <v>348373.94742357719</v>
      </c>
      <c r="G14" s="122">
        <f>D14*0.3</f>
        <v>149303.12032439021</v>
      </c>
      <c r="H14" s="122"/>
      <c r="I14" s="122"/>
      <c r="J14" s="122"/>
    </row>
    <row r="15" spans="2:10" x14ac:dyDescent="0.2">
      <c r="B15" s="123">
        <v>5</v>
      </c>
      <c r="C15" s="125" t="s">
        <v>39</v>
      </c>
      <c r="D15" s="121">
        <f>ORÇAMENTO!J70</f>
        <v>594752.00597734004</v>
      </c>
      <c r="E15" s="122"/>
      <c r="F15" s="122"/>
      <c r="G15" s="122"/>
      <c r="H15" s="122">
        <f>D15*0.4</f>
        <v>237900.80239093603</v>
      </c>
      <c r="I15" s="122">
        <f>D15*0.4</f>
        <v>237900.80239093603</v>
      </c>
      <c r="J15" s="122">
        <f>D15*0.2</f>
        <v>118950.40119546802</v>
      </c>
    </row>
    <row r="16" spans="2:10" x14ac:dyDescent="0.2">
      <c r="B16" s="123">
        <v>6</v>
      </c>
      <c r="C16" s="125" t="s">
        <v>42</v>
      </c>
      <c r="D16" s="121">
        <f>ORÇAMENTO!J102</f>
        <v>50734.806908799997</v>
      </c>
      <c r="E16" s="122"/>
      <c r="F16" s="122"/>
      <c r="G16" s="122"/>
      <c r="H16" s="122"/>
      <c r="I16" s="122"/>
      <c r="J16" s="122">
        <f>D16</f>
        <v>50734.806908799997</v>
      </c>
    </row>
    <row r="17" spans="2:12" x14ac:dyDescent="0.2">
      <c r="B17" s="126"/>
      <c r="C17" s="129" t="s">
        <v>65</v>
      </c>
      <c r="D17" s="127">
        <f>SUM(D11:D16)</f>
        <v>1555496.2055815796</v>
      </c>
      <c r="E17" s="127">
        <f t="shared" ref="E17:J17" si="0">SUM(E11:E16)</f>
        <v>280127.29192387202</v>
      </c>
      <c r="F17" s="127">
        <f t="shared" si="0"/>
        <v>380020.26890829718</v>
      </c>
      <c r="G17" s="127">
        <f t="shared" si="0"/>
        <v>180949.44180911023</v>
      </c>
      <c r="H17" s="127">
        <f t="shared" ref="H17:I17" si="1">SUM(H11:H16)</f>
        <v>256533.83667565603</v>
      </c>
      <c r="I17" s="127">
        <f t="shared" si="1"/>
        <v>256533.83667565603</v>
      </c>
      <c r="J17" s="127">
        <f t="shared" si="0"/>
        <v>201331.52958898802</v>
      </c>
      <c r="L17" s="79"/>
    </row>
    <row r="18" spans="2:12" x14ac:dyDescent="0.2">
      <c r="B18" s="126"/>
      <c r="C18" s="129" t="s">
        <v>74</v>
      </c>
      <c r="D18" s="128">
        <f>SUM(E18:J18)</f>
        <v>0.99999999999999989</v>
      </c>
      <c r="E18" s="128">
        <f>E17/D17</f>
        <v>0.18008870154661424</v>
      </c>
      <c r="F18" s="128">
        <f>F17/D17</f>
        <v>0.24430806551933221</v>
      </c>
      <c r="G18" s="128">
        <f>G17/D17</f>
        <v>0.11632907953089838</v>
      </c>
      <c r="H18" s="128">
        <f>H17/D17</f>
        <v>0.16492090161013373</v>
      </c>
      <c r="I18" s="128">
        <f>I17/D17</f>
        <v>0.16492090161013373</v>
      </c>
      <c r="J18" s="128">
        <f>J17/D17</f>
        <v>0.12943235018288765</v>
      </c>
    </row>
    <row r="20" spans="2:12" x14ac:dyDescent="0.2">
      <c r="B20" s="170" t="s">
        <v>359</v>
      </c>
      <c r="C20" s="170"/>
      <c r="D20" s="170"/>
      <c r="E20" s="170"/>
      <c r="F20" s="170"/>
      <c r="G20" s="170"/>
      <c r="H20" s="170"/>
      <c r="I20" s="170"/>
      <c r="J20" s="170"/>
      <c r="K20" s="49"/>
    </row>
    <row r="21" spans="2:12" x14ac:dyDescent="0.2">
      <c r="B21" s="48"/>
      <c r="C21" s="48"/>
      <c r="D21" s="48"/>
      <c r="E21" s="48"/>
      <c r="F21" s="48"/>
      <c r="G21" s="48"/>
      <c r="H21" s="76"/>
      <c r="I21" s="82"/>
      <c r="J21" s="48"/>
      <c r="K21" s="49"/>
    </row>
    <row r="22" spans="2:12" x14ac:dyDescent="0.2">
      <c r="B22" s="48"/>
      <c r="C22" s="48"/>
      <c r="D22" s="48"/>
      <c r="E22" s="48"/>
      <c r="F22" s="48"/>
      <c r="G22" s="48"/>
      <c r="H22" s="76"/>
      <c r="I22" s="82"/>
      <c r="J22" s="48"/>
      <c r="K22" s="49"/>
    </row>
    <row r="24" spans="2:12" x14ac:dyDescent="0.2">
      <c r="F24" s="15"/>
      <c r="G24" s="15"/>
      <c r="H24" s="15"/>
      <c r="I24" s="15"/>
      <c r="J24" s="15"/>
    </row>
    <row r="25" spans="2:12" x14ac:dyDescent="0.2">
      <c r="F25" s="164" t="s">
        <v>125</v>
      </c>
      <c r="G25" s="164"/>
      <c r="H25" s="164"/>
      <c r="I25" s="164"/>
      <c r="J25" s="164"/>
    </row>
    <row r="26" spans="2:12" x14ac:dyDescent="0.2">
      <c r="F26" s="165" t="s">
        <v>126</v>
      </c>
      <c r="G26" s="165"/>
      <c r="H26" s="165"/>
      <c r="I26" s="165"/>
      <c r="J26" s="165"/>
    </row>
    <row r="27" spans="2:12" x14ac:dyDescent="0.2">
      <c r="F27" s="165" t="s">
        <v>127</v>
      </c>
      <c r="G27" s="165"/>
      <c r="H27" s="165"/>
      <c r="I27" s="165"/>
      <c r="J27" s="165"/>
    </row>
  </sheetData>
  <mergeCells count="11">
    <mergeCell ref="F26:J26"/>
    <mergeCell ref="F27:J27"/>
    <mergeCell ref="B20:J20"/>
    <mergeCell ref="B1:G1"/>
    <mergeCell ref="B7:J7"/>
    <mergeCell ref="B8:J8"/>
    <mergeCell ref="F25:J25"/>
    <mergeCell ref="B2:J2"/>
    <mergeCell ref="B5:J5"/>
    <mergeCell ref="B4:J4"/>
    <mergeCell ref="B9:J9"/>
  </mergeCells>
  <pageMargins left="0.511811024" right="0.511811024" top="0.78740157499999996" bottom="0.78740157499999996" header="0.31496062000000002" footer="0.31496062000000002"/>
  <pageSetup paperSize="9" scale="9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24"/>
  <sheetViews>
    <sheetView topLeftCell="A4" workbookViewId="0">
      <selection activeCell="B17" sqref="B17"/>
    </sheetView>
  </sheetViews>
  <sheetFormatPr defaultColWidth="9.140625" defaultRowHeight="12.75" x14ac:dyDescent="0.2"/>
  <cols>
    <col min="1" max="1" width="2.5703125" style="16" customWidth="1"/>
    <col min="2" max="2" width="89.5703125" style="16" customWidth="1"/>
    <col min="3" max="3" width="15.5703125" style="16" customWidth="1"/>
    <col min="4" max="4" width="9.140625" style="16"/>
    <col min="5" max="5" width="2.28515625" style="16" customWidth="1"/>
    <col min="6" max="16384" width="9.140625" style="16"/>
  </cols>
  <sheetData>
    <row r="1" spans="2:4" x14ac:dyDescent="0.2">
      <c r="B1" s="179"/>
      <c r="C1" s="179"/>
      <c r="D1" s="35"/>
    </row>
    <row r="2" spans="2:4" x14ac:dyDescent="0.2">
      <c r="B2" s="172" t="s">
        <v>121</v>
      </c>
      <c r="C2" s="172"/>
      <c r="D2" s="172"/>
    </row>
    <row r="3" spans="2:4" x14ac:dyDescent="0.2">
      <c r="B3" s="178" t="s">
        <v>287</v>
      </c>
      <c r="C3" s="178"/>
      <c r="D3" s="178"/>
    </row>
    <row r="4" spans="2:4" x14ac:dyDescent="0.2">
      <c r="B4" s="13"/>
      <c r="C4" s="13"/>
      <c r="D4" s="36"/>
    </row>
    <row r="5" spans="2:4" x14ac:dyDescent="0.2">
      <c r="B5" s="180" t="s">
        <v>75</v>
      </c>
      <c r="C5" s="180"/>
      <c r="D5" s="180"/>
    </row>
    <row r="6" spans="2:4" x14ac:dyDescent="0.2">
      <c r="B6" s="181"/>
      <c r="C6" s="181"/>
      <c r="D6" s="13"/>
    </row>
    <row r="7" spans="2:4" x14ac:dyDescent="0.2">
      <c r="B7" s="130" t="s">
        <v>76</v>
      </c>
      <c r="C7" s="130" t="s">
        <v>77</v>
      </c>
      <c r="D7" s="131" t="s">
        <v>3</v>
      </c>
    </row>
    <row r="8" spans="2:4" x14ac:dyDescent="0.2">
      <c r="B8" s="132" t="s">
        <v>122</v>
      </c>
      <c r="C8" s="133" t="s">
        <v>78</v>
      </c>
      <c r="D8" s="134">
        <v>48</v>
      </c>
    </row>
    <row r="9" spans="2:4" x14ac:dyDescent="0.2">
      <c r="B9" s="132" t="s">
        <v>288</v>
      </c>
      <c r="C9" s="133" t="s">
        <v>79</v>
      </c>
      <c r="D9" s="134">
        <v>24</v>
      </c>
    </row>
    <row r="10" spans="2:4" x14ac:dyDescent="0.2">
      <c r="B10" s="17"/>
      <c r="C10" s="52"/>
      <c r="D10" s="17"/>
    </row>
    <row r="11" spans="2:4" x14ac:dyDescent="0.2">
      <c r="B11" s="130" t="s">
        <v>124</v>
      </c>
      <c r="C11" s="131" t="s">
        <v>77</v>
      </c>
      <c r="D11" s="131" t="s">
        <v>3</v>
      </c>
    </row>
    <row r="12" spans="2:4" x14ac:dyDescent="0.2">
      <c r="B12" s="132" t="s">
        <v>123</v>
      </c>
      <c r="C12" s="133" t="s">
        <v>78</v>
      </c>
      <c r="D12" s="134">
        <v>85</v>
      </c>
    </row>
    <row r="13" spans="2:4" x14ac:dyDescent="0.2">
      <c r="B13" s="132" t="s">
        <v>288</v>
      </c>
      <c r="C13" s="133" t="s">
        <v>79</v>
      </c>
      <c r="D13" s="134">
        <v>24</v>
      </c>
    </row>
    <row r="14" spans="2:4" x14ac:dyDescent="0.2">
      <c r="B14" s="14"/>
      <c r="C14" s="14"/>
      <c r="D14" s="14"/>
    </row>
    <row r="15" spans="2:4" x14ac:dyDescent="0.2">
      <c r="B15" s="14"/>
      <c r="C15" s="14"/>
      <c r="D15" s="14"/>
    </row>
    <row r="16" spans="2:4" ht="15" customHeight="1" x14ac:dyDescent="0.2">
      <c r="B16" s="182" t="s">
        <v>311</v>
      </c>
      <c r="C16" s="182"/>
      <c r="D16" s="182"/>
    </row>
    <row r="17" spans="2:4" ht="15" customHeight="1" x14ac:dyDescent="0.2">
      <c r="B17" s="28"/>
      <c r="C17" s="28"/>
      <c r="D17" s="28"/>
    </row>
    <row r="18" spans="2:4" ht="15" customHeight="1" x14ac:dyDescent="0.2">
      <c r="B18" s="28"/>
      <c r="C18" s="28"/>
      <c r="D18" s="28"/>
    </row>
    <row r="19" spans="2:4" x14ac:dyDescent="0.2">
      <c r="B19" s="14"/>
      <c r="C19" s="14"/>
      <c r="D19" s="14"/>
    </row>
    <row r="20" spans="2:4" x14ac:dyDescent="0.2">
      <c r="B20" s="14"/>
      <c r="C20" s="14"/>
      <c r="D20" s="14"/>
    </row>
    <row r="21" spans="2:4" x14ac:dyDescent="0.2">
      <c r="C21" s="15"/>
      <c r="D21" s="15"/>
    </row>
    <row r="22" spans="2:4" ht="15" customHeight="1" x14ac:dyDescent="0.2">
      <c r="B22" s="50"/>
      <c r="C22" s="177" t="s">
        <v>125</v>
      </c>
      <c r="D22" s="177"/>
    </row>
    <row r="23" spans="2:4" ht="15" customHeight="1" x14ac:dyDescent="0.2">
      <c r="C23" s="170" t="s">
        <v>126</v>
      </c>
      <c r="D23" s="170"/>
    </row>
    <row r="24" spans="2:4" x14ac:dyDescent="0.2">
      <c r="C24" s="170" t="s">
        <v>127</v>
      </c>
      <c r="D24" s="170"/>
    </row>
  </sheetData>
  <mergeCells count="9">
    <mergeCell ref="C22:D22"/>
    <mergeCell ref="C23:D23"/>
    <mergeCell ref="C24:D24"/>
    <mergeCell ref="B3:D3"/>
    <mergeCell ref="B1:C1"/>
    <mergeCell ref="B2:D2"/>
    <mergeCell ref="B5:D5"/>
    <mergeCell ref="B6:C6"/>
    <mergeCell ref="B16:D16"/>
  </mergeCells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43"/>
  <sheetViews>
    <sheetView topLeftCell="A19" workbookViewId="0">
      <selection activeCell="B32" sqref="B32"/>
    </sheetView>
  </sheetViews>
  <sheetFormatPr defaultRowHeight="15" x14ac:dyDescent="0.25"/>
  <cols>
    <col min="2" max="2" width="23" style="19" customWidth="1"/>
    <col min="3" max="3" width="11.42578125" style="19" customWidth="1"/>
    <col min="4" max="5" width="12.7109375" style="19" customWidth="1"/>
    <col min="6" max="6" width="7.42578125" style="19" customWidth="1"/>
    <col min="7" max="9" width="14.7109375" style="19" customWidth="1"/>
    <col min="10" max="10" width="9.140625" style="19"/>
  </cols>
  <sheetData>
    <row r="2" spans="2:10" x14ac:dyDescent="0.25">
      <c r="B2" s="188" t="s">
        <v>80</v>
      </c>
      <c r="C2" s="189"/>
      <c r="D2" s="189"/>
      <c r="E2" s="189"/>
      <c r="F2" s="189"/>
      <c r="G2" s="189"/>
      <c r="H2" s="189"/>
      <c r="I2" s="190"/>
      <c r="J2" s="18"/>
    </row>
    <row r="3" spans="2:10" x14ac:dyDescent="0.25">
      <c r="B3" s="185" t="s">
        <v>128</v>
      </c>
      <c r="C3" s="186"/>
      <c r="D3" s="186"/>
      <c r="E3" s="186"/>
      <c r="F3" s="186"/>
      <c r="G3" s="186"/>
      <c r="H3" s="186"/>
      <c r="I3" s="187"/>
    </row>
    <row r="4" spans="2:10" ht="15" customHeight="1" x14ac:dyDescent="0.25">
      <c r="B4" s="191" t="s">
        <v>286</v>
      </c>
      <c r="C4" s="192"/>
      <c r="D4" s="192"/>
      <c r="E4" s="192"/>
      <c r="F4" s="192"/>
      <c r="G4" s="192"/>
      <c r="H4" s="192"/>
      <c r="I4" s="193"/>
    </row>
    <row r="5" spans="2:10" x14ac:dyDescent="0.25">
      <c r="B5" s="136" t="s">
        <v>129</v>
      </c>
      <c r="C5" s="137"/>
      <c r="D5" s="138"/>
      <c r="E5" s="137"/>
      <c r="F5" s="137"/>
      <c r="G5" s="137"/>
      <c r="H5" s="139"/>
      <c r="I5" s="140"/>
    </row>
    <row r="7" spans="2:10" x14ac:dyDescent="0.25">
      <c r="B7" s="20" t="s">
        <v>81</v>
      </c>
      <c r="C7" s="21"/>
      <c r="D7" s="21"/>
      <c r="E7" s="21"/>
      <c r="F7" s="21"/>
      <c r="G7" s="21"/>
      <c r="H7" s="21"/>
      <c r="I7" s="22">
        <v>1</v>
      </c>
    </row>
    <row r="8" spans="2:10" x14ac:dyDescent="0.25">
      <c r="B8" s="20" t="s">
        <v>82</v>
      </c>
      <c r="C8" s="21"/>
      <c r="D8" s="21"/>
      <c r="E8" s="21"/>
      <c r="F8" s="21"/>
      <c r="G8" s="21"/>
      <c r="H8" s="21"/>
      <c r="I8" s="22">
        <v>0.05</v>
      </c>
    </row>
    <row r="10" spans="2:10" ht="31.5" customHeight="1" x14ac:dyDescent="0.25">
      <c r="B10" s="194" t="s">
        <v>83</v>
      </c>
      <c r="C10" s="194"/>
      <c r="D10" s="195" t="s">
        <v>84</v>
      </c>
      <c r="E10" s="195"/>
      <c r="G10" s="196" t="s">
        <v>85</v>
      </c>
      <c r="H10" s="196"/>
      <c r="I10" s="196"/>
    </row>
    <row r="11" spans="2:10" x14ac:dyDescent="0.25">
      <c r="B11" s="194"/>
      <c r="C11" s="194"/>
      <c r="D11" s="195"/>
      <c r="E11" s="195"/>
      <c r="G11" s="135" t="s">
        <v>86</v>
      </c>
      <c r="H11" s="135" t="s">
        <v>87</v>
      </c>
      <c r="I11" s="135" t="s">
        <v>88</v>
      </c>
    </row>
    <row r="12" spans="2:10" x14ac:dyDescent="0.25">
      <c r="B12" s="183" t="s">
        <v>89</v>
      </c>
      <c r="C12" s="183"/>
      <c r="D12" s="184">
        <v>3.9E-2</v>
      </c>
      <c r="E12" s="184"/>
      <c r="G12" s="23">
        <v>3.8</v>
      </c>
      <c r="H12" s="23">
        <v>4.01</v>
      </c>
      <c r="I12" s="23">
        <v>4.67</v>
      </c>
    </row>
    <row r="13" spans="2:10" x14ac:dyDescent="0.25">
      <c r="B13" s="183" t="s">
        <v>90</v>
      </c>
      <c r="C13" s="183"/>
      <c r="D13" s="184">
        <v>4.4999999999999997E-3</v>
      </c>
      <c r="E13" s="184"/>
      <c r="G13" s="23">
        <v>0.32</v>
      </c>
      <c r="H13" s="23">
        <v>0.4</v>
      </c>
      <c r="I13" s="23">
        <v>0.74</v>
      </c>
    </row>
    <row r="14" spans="2:10" x14ac:dyDescent="0.25">
      <c r="B14" s="183" t="s">
        <v>91</v>
      </c>
      <c r="C14" s="183"/>
      <c r="D14" s="184">
        <v>6.0000000000000001E-3</v>
      </c>
      <c r="E14" s="184"/>
      <c r="G14" s="23">
        <v>0.5</v>
      </c>
      <c r="H14" s="23">
        <v>0.56000000000000005</v>
      </c>
      <c r="I14" s="23">
        <v>0.97</v>
      </c>
    </row>
    <row r="15" spans="2:10" x14ac:dyDescent="0.25">
      <c r="B15" s="183" t="s">
        <v>92</v>
      </c>
      <c r="C15" s="183"/>
      <c r="D15" s="184">
        <v>1.0500000000000001E-2</v>
      </c>
      <c r="E15" s="184"/>
      <c r="G15" s="23">
        <v>1.02</v>
      </c>
      <c r="H15" s="23">
        <v>1.1100000000000001</v>
      </c>
      <c r="I15" s="23">
        <v>1.21</v>
      </c>
    </row>
    <row r="16" spans="2:10" x14ac:dyDescent="0.25">
      <c r="B16" s="183" t="s">
        <v>93</v>
      </c>
      <c r="C16" s="183"/>
      <c r="D16" s="184">
        <v>7.0000000000000007E-2</v>
      </c>
      <c r="E16" s="184"/>
      <c r="G16" s="23">
        <v>6.64</v>
      </c>
      <c r="H16" s="23">
        <v>7.3</v>
      </c>
      <c r="I16" s="23">
        <v>8.69</v>
      </c>
    </row>
    <row r="17" spans="2:9" x14ac:dyDescent="0.25">
      <c r="B17" s="183" t="s">
        <v>94</v>
      </c>
      <c r="C17" s="183"/>
      <c r="D17" s="184">
        <v>6.4999999999999997E-3</v>
      </c>
      <c r="E17" s="184"/>
      <c r="G17" s="23">
        <v>0.65</v>
      </c>
      <c r="H17" s="23">
        <v>0.65</v>
      </c>
      <c r="I17" s="23">
        <v>0.65</v>
      </c>
    </row>
    <row r="18" spans="2:9" x14ac:dyDescent="0.25">
      <c r="B18" s="183" t="s">
        <v>95</v>
      </c>
      <c r="C18" s="183"/>
      <c r="D18" s="184">
        <v>0.03</v>
      </c>
      <c r="E18" s="184"/>
      <c r="G18" s="23">
        <v>3</v>
      </c>
      <c r="H18" s="23">
        <v>3</v>
      </c>
      <c r="I18" s="23">
        <v>3</v>
      </c>
    </row>
    <row r="19" spans="2:9" x14ac:dyDescent="0.25">
      <c r="B19" s="183" t="s">
        <v>96</v>
      </c>
      <c r="C19" s="183"/>
      <c r="D19" s="184">
        <f>I8*I7</f>
        <v>0.05</v>
      </c>
      <c r="E19" s="184"/>
      <c r="G19" s="23">
        <v>2</v>
      </c>
      <c r="H19" s="23">
        <v>2</v>
      </c>
      <c r="I19" s="23">
        <v>5</v>
      </c>
    </row>
    <row r="20" spans="2:9" x14ac:dyDescent="0.25">
      <c r="B20" s="183" t="s">
        <v>97</v>
      </c>
      <c r="C20" s="183"/>
      <c r="D20" s="184">
        <v>0</v>
      </c>
      <c r="E20" s="184"/>
    </row>
    <row r="21" spans="2:9" x14ac:dyDescent="0.25">
      <c r="B21" s="194" t="s">
        <v>98</v>
      </c>
      <c r="C21" s="194"/>
      <c r="D21" s="200">
        <f>ROUND((((1+D12+D13+D14)*(1+D15)*(1+D16))/(1-D17-D18-D19-D20))-1,4)</f>
        <v>0.2422</v>
      </c>
      <c r="E21" s="200"/>
    </row>
    <row r="22" spans="2:9" x14ac:dyDescent="0.25">
      <c r="D22" s="24"/>
    </row>
    <row r="23" spans="2:9" ht="26.25" customHeight="1" x14ac:dyDescent="0.25">
      <c r="B23" s="195" t="s">
        <v>99</v>
      </c>
      <c r="C23" s="195"/>
      <c r="D23" s="195"/>
      <c r="E23" s="195"/>
      <c r="F23" s="25"/>
      <c r="G23" s="195" t="s">
        <v>85</v>
      </c>
      <c r="H23" s="195"/>
      <c r="I23" s="195"/>
    </row>
    <row r="24" spans="2:9" ht="29.25" customHeight="1" x14ac:dyDescent="0.25">
      <c r="B24" s="201" t="s">
        <v>100</v>
      </c>
      <c r="C24" s="201"/>
      <c r="D24" s="202">
        <f>ROUND((((1+D12+D13+D14)*(1+D15)*(1+D16))/(1-D17-D18-D19))-1,4)</f>
        <v>0.2422</v>
      </c>
      <c r="E24" s="202"/>
      <c r="G24" s="26">
        <v>19.600000000000001</v>
      </c>
      <c r="H24" s="26">
        <v>20.97</v>
      </c>
      <c r="I24" s="26">
        <v>24.23</v>
      </c>
    </row>
    <row r="26" spans="2:9" x14ac:dyDescent="0.25">
      <c r="B26" s="27" t="s">
        <v>101</v>
      </c>
    </row>
    <row r="27" spans="2:9" ht="43.5" customHeight="1" x14ac:dyDescent="0.25">
      <c r="B27" s="203" t="s">
        <v>130</v>
      </c>
      <c r="C27" s="204"/>
      <c r="D27" s="204"/>
      <c r="E27" s="204"/>
      <c r="F27" s="204"/>
      <c r="G27" s="204"/>
      <c r="H27" s="204"/>
      <c r="I27" s="205"/>
    </row>
    <row r="28" spans="2:9" ht="28.5" customHeight="1" x14ac:dyDescent="0.25">
      <c r="B28" s="197" t="s">
        <v>102</v>
      </c>
      <c r="C28" s="198"/>
      <c r="D28" s="198"/>
      <c r="E28" s="198"/>
      <c r="F28" s="198"/>
      <c r="G28" s="198"/>
      <c r="H28" s="198"/>
      <c r="I28" s="199"/>
    </row>
    <row r="29" spans="2:9" ht="42" customHeight="1" x14ac:dyDescent="0.25">
      <c r="B29" s="206" t="s">
        <v>131</v>
      </c>
      <c r="C29" s="207"/>
      <c r="D29" s="207"/>
      <c r="E29" s="207"/>
      <c r="F29" s="207"/>
      <c r="G29" s="207"/>
      <c r="H29" s="207"/>
      <c r="I29" s="208"/>
    </row>
    <row r="31" spans="2:9" x14ac:dyDescent="0.25">
      <c r="B31" s="170" t="s">
        <v>359</v>
      </c>
      <c r="C31" s="170"/>
      <c r="D31" s="170"/>
      <c r="E31" s="170"/>
      <c r="F31" s="170"/>
      <c r="G31" s="170"/>
      <c r="H31" s="170"/>
      <c r="I31" s="170"/>
    </row>
    <row r="32" spans="2:9" x14ac:dyDescent="0.25">
      <c r="B32" s="74"/>
      <c r="C32" s="74"/>
      <c r="D32" s="74"/>
      <c r="E32" s="74"/>
      <c r="F32" s="74"/>
      <c r="G32" s="74"/>
      <c r="H32" s="74"/>
      <c r="I32" s="74"/>
    </row>
    <row r="33" spans="2:9" x14ac:dyDescent="0.25">
      <c r="B33" s="74"/>
      <c r="C33" s="74"/>
      <c r="D33" s="74"/>
      <c r="E33" s="74"/>
      <c r="F33" s="74"/>
      <c r="G33" s="74"/>
      <c r="H33" s="74"/>
      <c r="I33" s="74"/>
    </row>
    <row r="34" spans="2:9" x14ac:dyDescent="0.25">
      <c r="B34" s="74"/>
      <c r="C34" s="74"/>
      <c r="D34" s="74"/>
      <c r="E34" s="74"/>
      <c r="F34" s="74"/>
      <c r="G34" s="74"/>
      <c r="H34" s="74"/>
      <c r="I34" s="74"/>
    </row>
    <row r="35" spans="2:9" x14ac:dyDescent="0.25">
      <c r="B35" s="74"/>
      <c r="C35" s="74"/>
      <c r="D35" s="74"/>
      <c r="E35" s="74"/>
      <c r="F35" s="74"/>
      <c r="G35" s="74"/>
      <c r="H35" s="74"/>
      <c r="I35" s="74"/>
    </row>
    <row r="36" spans="2:9" x14ac:dyDescent="0.25">
      <c r="B36" s="74"/>
      <c r="C36" s="74"/>
      <c r="D36" s="74"/>
      <c r="E36" s="74"/>
      <c r="F36" s="74"/>
      <c r="G36" s="74"/>
      <c r="H36" s="74"/>
      <c r="I36" s="74"/>
    </row>
    <row r="37" spans="2:9" x14ac:dyDescent="0.25">
      <c r="B37" s="74"/>
      <c r="C37" s="74"/>
      <c r="D37" s="74"/>
      <c r="E37" s="74"/>
      <c r="F37" s="74"/>
      <c r="G37" s="74"/>
      <c r="H37" s="74"/>
      <c r="I37" s="74"/>
    </row>
    <row r="40" spans="2:9" x14ac:dyDescent="0.25">
      <c r="F40" s="209"/>
      <c r="G40" s="209"/>
      <c r="H40" s="209"/>
    </row>
    <row r="41" spans="2:9" x14ac:dyDescent="0.25">
      <c r="F41" s="170" t="s">
        <v>125</v>
      </c>
      <c r="G41" s="170"/>
      <c r="H41" s="170"/>
    </row>
    <row r="42" spans="2:9" x14ac:dyDescent="0.25">
      <c r="F42" s="170" t="s">
        <v>126</v>
      </c>
      <c r="G42" s="170"/>
      <c r="H42" s="170"/>
    </row>
    <row r="43" spans="2:9" x14ac:dyDescent="0.25">
      <c r="F43" s="170" t="s">
        <v>127</v>
      </c>
      <c r="G43" s="170"/>
      <c r="H43" s="170"/>
    </row>
  </sheetData>
  <mergeCells count="38">
    <mergeCell ref="B29:I29"/>
    <mergeCell ref="F40:H40"/>
    <mergeCell ref="F41:H41"/>
    <mergeCell ref="F42:H42"/>
    <mergeCell ref="F43:H43"/>
    <mergeCell ref="B31:I31"/>
    <mergeCell ref="B28:I28"/>
    <mergeCell ref="B19:C19"/>
    <mergeCell ref="D19:E19"/>
    <mergeCell ref="B20:C20"/>
    <mergeCell ref="D20:E20"/>
    <mergeCell ref="B21:C21"/>
    <mergeCell ref="D21:E21"/>
    <mergeCell ref="B23:E23"/>
    <mergeCell ref="G23:I23"/>
    <mergeCell ref="B24:C24"/>
    <mergeCell ref="D24:E24"/>
    <mergeCell ref="B27:I27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2:C12"/>
    <mergeCell ref="D12:E12"/>
    <mergeCell ref="B3:I3"/>
    <mergeCell ref="B2:I2"/>
    <mergeCell ref="B4:I4"/>
    <mergeCell ref="B10:C11"/>
    <mergeCell ref="D10:E11"/>
    <mergeCell ref="G10:I10"/>
  </mergeCells>
  <pageMargins left="0.25" right="0.25" top="0.75" bottom="0.75" header="0.3" footer="0.3"/>
  <pageSetup paperSize="9" scale="76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7"/>
  <sheetViews>
    <sheetView topLeftCell="A52" workbookViewId="0">
      <selection activeCell="G60" sqref="G60"/>
    </sheetView>
  </sheetViews>
  <sheetFormatPr defaultColWidth="9.140625" defaultRowHeight="15" x14ac:dyDescent="0.25"/>
  <cols>
    <col min="1" max="1" width="9.140625" style="29"/>
    <col min="2" max="2" width="18.28515625" style="30" bestFit="1" customWidth="1"/>
    <col min="3" max="3" width="13.28515625" style="30" customWidth="1"/>
    <col min="4" max="4" width="70.5703125" style="30" bestFit="1" customWidth="1"/>
    <col min="5" max="5" width="14.42578125" style="30" bestFit="1" customWidth="1"/>
    <col min="6" max="6" width="13.28515625" style="30" bestFit="1" customWidth="1"/>
    <col min="7" max="7" width="16.7109375" style="30" bestFit="1" customWidth="1"/>
    <col min="8" max="8" width="14.28515625" style="30" bestFit="1" customWidth="1"/>
    <col min="9" max="16384" width="9.140625" style="29"/>
  </cols>
  <sheetData>
    <row r="1" spans="2:8" x14ac:dyDescent="0.25">
      <c r="B1" s="220" t="s">
        <v>103</v>
      </c>
      <c r="C1" s="220"/>
      <c r="D1" s="220"/>
      <c r="E1" s="220"/>
      <c r="F1" s="220"/>
      <c r="G1" s="220"/>
      <c r="H1" s="220"/>
    </row>
    <row r="3" spans="2:8" x14ac:dyDescent="0.25">
      <c r="B3" s="220" t="s">
        <v>121</v>
      </c>
      <c r="C3" s="220"/>
      <c r="D3" s="220"/>
      <c r="E3" s="220"/>
      <c r="F3" s="220"/>
      <c r="G3" s="220"/>
      <c r="H3" s="220"/>
    </row>
    <row r="4" spans="2:8" x14ac:dyDescent="0.25">
      <c r="B4" s="220" t="s">
        <v>289</v>
      </c>
      <c r="C4" s="220"/>
      <c r="D4" s="220"/>
      <c r="E4" s="220"/>
      <c r="F4" s="220"/>
      <c r="G4" s="220"/>
      <c r="H4" s="220"/>
    </row>
    <row r="5" spans="2:8" ht="8.25" customHeight="1" x14ac:dyDescent="0.25"/>
    <row r="6" spans="2:8" x14ac:dyDescent="0.25">
      <c r="B6" s="210" t="s">
        <v>104</v>
      </c>
      <c r="C6" s="210"/>
      <c r="D6" s="141" t="s">
        <v>132</v>
      </c>
      <c r="E6" s="142" t="s">
        <v>105</v>
      </c>
      <c r="F6" s="211">
        <v>46174</v>
      </c>
      <c r="G6" s="212"/>
      <c r="H6" s="213"/>
    </row>
    <row r="7" spans="2:8" x14ac:dyDescent="0.25">
      <c r="B7" s="210" t="s">
        <v>106</v>
      </c>
      <c r="C7" s="210"/>
      <c r="D7" s="143" t="s">
        <v>133</v>
      </c>
      <c r="E7" s="214"/>
      <c r="F7" s="215"/>
      <c r="G7" s="215"/>
      <c r="H7" s="216"/>
    </row>
    <row r="8" spans="2:8" x14ac:dyDescent="0.25">
      <c r="B8" s="210" t="s">
        <v>107</v>
      </c>
      <c r="C8" s="210"/>
      <c r="D8" s="217" t="s">
        <v>134</v>
      </c>
      <c r="E8" s="218"/>
      <c r="F8" s="218"/>
      <c r="G8" s="218"/>
      <c r="H8" s="219"/>
    </row>
    <row r="9" spans="2:8" x14ac:dyDescent="0.25">
      <c r="B9" s="130" t="s">
        <v>135</v>
      </c>
      <c r="C9" s="131" t="s">
        <v>136</v>
      </c>
      <c r="D9" s="130" t="s">
        <v>108</v>
      </c>
      <c r="E9" s="130" t="s">
        <v>109</v>
      </c>
      <c r="F9" s="130" t="s">
        <v>110</v>
      </c>
      <c r="G9" s="130" t="s">
        <v>111</v>
      </c>
      <c r="H9" s="130" t="s">
        <v>112</v>
      </c>
    </row>
    <row r="10" spans="2:8" ht="25.5" x14ac:dyDescent="0.25">
      <c r="B10" s="132" t="s">
        <v>143</v>
      </c>
      <c r="C10" s="133">
        <v>90778</v>
      </c>
      <c r="D10" s="148" t="s">
        <v>144</v>
      </c>
      <c r="E10" s="133" t="s">
        <v>51</v>
      </c>
      <c r="F10" s="149">
        <v>130</v>
      </c>
      <c r="G10" s="150">
        <v>145</v>
      </c>
      <c r="H10" s="150">
        <f>G10*F10</f>
        <v>18850</v>
      </c>
    </row>
    <row r="11" spans="2:8" x14ac:dyDescent="0.25">
      <c r="B11" s="132" t="s">
        <v>143</v>
      </c>
      <c r="C11" s="133">
        <v>93572</v>
      </c>
      <c r="D11" s="148" t="s">
        <v>284</v>
      </c>
      <c r="E11" s="133" t="s">
        <v>285</v>
      </c>
      <c r="F11" s="149">
        <v>6</v>
      </c>
      <c r="G11" s="150">
        <v>13405</v>
      </c>
      <c r="H11" s="150">
        <f t="shared" ref="H11:H13" si="0">G11*F11</f>
        <v>80430</v>
      </c>
    </row>
    <row r="12" spans="2:8" x14ac:dyDescent="0.25">
      <c r="B12" s="132" t="s">
        <v>143</v>
      </c>
      <c r="C12" s="133">
        <v>90766</v>
      </c>
      <c r="D12" s="148" t="s">
        <v>185</v>
      </c>
      <c r="E12" s="133" t="s">
        <v>51</v>
      </c>
      <c r="F12" s="149">
        <v>120</v>
      </c>
      <c r="G12" s="150">
        <v>31.5</v>
      </c>
      <c r="H12" s="150">
        <f t="shared" si="0"/>
        <v>3780</v>
      </c>
    </row>
    <row r="13" spans="2:8" x14ac:dyDescent="0.25">
      <c r="B13" s="132" t="s">
        <v>143</v>
      </c>
      <c r="C13" s="133">
        <v>90775</v>
      </c>
      <c r="D13" s="148" t="s">
        <v>186</v>
      </c>
      <c r="E13" s="133" t="s">
        <v>51</v>
      </c>
      <c r="F13" s="149">
        <v>40</v>
      </c>
      <c r="G13" s="150">
        <v>42.5</v>
      </c>
      <c r="H13" s="150">
        <f t="shared" si="0"/>
        <v>1700</v>
      </c>
    </row>
    <row r="14" spans="2:8" x14ac:dyDescent="0.25">
      <c r="G14" s="144" t="s">
        <v>113</v>
      </c>
      <c r="H14" s="145">
        <f>SUM(H10:H13)</f>
        <v>104760</v>
      </c>
    </row>
    <row r="15" spans="2:8" ht="16.5" customHeight="1" x14ac:dyDescent="0.25">
      <c r="B15" s="14"/>
      <c r="C15" s="14"/>
      <c r="D15" s="14"/>
      <c r="E15" s="14"/>
      <c r="F15" s="14"/>
      <c r="G15" s="14"/>
      <c r="H15" s="28"/>
    </row>
    <row r="16" spans="2:8" x14ac:dyDescent="0.25">
      <c r="B16" s="210" t="s">
        <v>104</v>
      </c>
      <c r="C16" s="210"/>
      <c r="D16" s="141" t="s">
        <v>145</v>
      </c>
      <c r="E16" s="142" t="s">
        <v>105</v>
      </c>
      <c r="F16" s="211">
        <v>46174</v>
      </c>
      <c r="G16" s="212"/>
      <c r="H16" s="213"/>
    </row>
    <row r="17" spans="2:11" x14ac:dyDescent="0.25">
      <c r="B17" s="210" t="s">
        <v>106</v>
      </c>
      <c r="C17" s="210"/>
      <c r="D17" s="143" t="s">
        <v>146</v>
      </c>
      <c r="E17" s="214"/>
      <c r="F17" s="215"/>
      <c r="G17" s="215"/>
      <c r="H17" s="216"/>
    </row>
    <row r="18" spans="2:11" x14ac:dyDescent="0.25">
      <c r="B18" s="210" t="s">
        <v>107</v>
      </c>
      <c r="C18" s="210"/>
      <c r="D18" s="217" t="s">
        <v>25</v>
      </c>
      <c r="E18" s="218"/>
      <c r="F18" s="218"/>
      <c r="G18" s="218"/>
      <c r="H18" s="219"/>
    </row>
    <row r="19" spans="2:11" x14ac:dyDescent="0.25">
      <c r="B19" s="130" t="s">
        <v>135</v>
      </c>
      <c r="C19" s="131" t="s">
        <v>136</v>
      </c>
      <c r="D19" s="130" t="s">
        <v>108</v>
      </c>
      <c r="E19" s="130" t="s">
        <v>109</v>
      </c>
      <c r="F19" s="130" t="s">
        <v>110</v>
      </c>
      <c r="G19" s="130" t="s">
        <v>111</v>
      </c>
      <c r="H19" s="130" t="s">
        <v>112</v>
      </c>
    </row>
    <row r="20" spans="2:11" x14ac:dyDescent="0.25">
      <c r="B20" s="132" t="s">
        <v>147</v>
      </c>
      <c r="C20" s="133">
        <v>4417</v>
      </c>
      <c r="D20" s="148" t="s">
        <v>137</v>
      </c>
      <c r="E20" s="133" t="s">
        <v>49</v>
      </c>
      <c r="F20" s="149">
        <v>1</v>
      </c>
      <c r="G20" s="150">
        <v>7.4</v>
      </c>
      <c r="H20" s="150">
        <f>G20*F20</f>
        <v>7.4</v>
      </c>
    </row>
    <row r="21" spans="2:11" x14ac:dyDescent="0.25">
      <c r="B21" s="132" t="s">
        <v>147</v>
      </c>
      <c r="C21" s="133">
        <v>4433</v>
      </c>
      <c r="D21" s="148" t="s">
        <v>138</v>
      </c>
      <c r="E21" s="133" t="s">
        <v>49</v>
      </c>
      <c r="F21" s="149">
        <v>4</v>
      </c>
      <c r="G21" s="150">
        <v>26.7</v>
      </c>
      <c r="H21" s="150">
        <f t="shared" ref="H21:H25" si="1">G21*F21</f>
        <v>106.8</v>
      </c>
    </row>
    <row r="22" spans="2:11" x14ac:dyDescent="0.25">
      <c r="B22" s="132" t="s">
        <v>147</v>
      </c>
      <c r="C22" s="133">
        <v>4813</v>
      </c>
      <c r="D22" s="148" t="s">
        <v>148</v>
      </c>
      <c r="E22" s="133" t="s">
        <v>139</v>
      </c>
      <c r="F22" s="149">
        <v>1</v>
      </c>
      <c r="G22" s="150">
        <v>230</v>
      </c>
      <c r="H22" s="150">
        <f t="shared" si="1"/>
        <v>230</v>
      </c>
    </row>
    <row r="23" spans="2:11" x14ac:dyDescent="0.25">
      <c r="B23" s="132" t="s">
        <v>147</v>
      </c>
      <c r="C23" s="133">
        <v>5075</v>
      </c>
      <c r="D23" s="148" t="s">
        <v>149</v>
      </c>
      <c r="E23" s="133" t="s">
        <v>140</v>
      </c>
      <c r="F23" s="149">
        <v>0.1</v>
      </c>
      <c r="G23" s="150">
        <v>14.7</v>
      </c>
      <c r="H23" s="150">
        <f t="shared" si="1"/>
        <v>1.47</v>
      </c>
    </row>
    <row r="24" spans="2:11" x14ac:dyDescent="0.25">
      <c r="B24" s="132" t="s">
        <v>143</v>
      </c>
      <c r="C24" s="133">
        <v>88262</v>
      </c>
      <c r="D24" s="148" t="s">
        <v>141</v>
      </c>
      <c r="E24" s="133" t="s">
        <v>51</v>
      </c>
      <c r="F24" s="149">
        <v>0.5</v>
      </c>
      <c r="G24" s="150">
        <v>29</v>
      </c>
      <c r="H24" s="150">
        <f t="shared" si="1"/>
        <v>14.5</v>
      </c>
    </row>
    <row r="25" spans="2:11" x14ac:dyDescent="0.25">
      <c r="B25" s="132" t="s">
        <v>143</v>
      </c>
      <c r="C25" s="133">
        <v>88316</v>
      </c>
      <c r="D25" s="148" t="s">
        <v>142</v>
      </c>
      <c r="E25" s="133" t="s">
        <v>51</v>
      </c>
      <c r="F25" s="149">
        <v>1</v>
      </c>
      <c r="G25" s="150">
        <v>24.8</v>
      </c>
      <c r="H25" s="150">
        <f t="shared" si="1"/>
        <v>24.8</v>
      </c>
    </row>
    <row r="26" spans="2:11" x14ac:dyDescent="0.25">
      <c r="G26" s="146" t="s">
        <v>113</v>
      </c>
      <c r="H26" s="147">
        <f>SUM(H20:H25)</f>
        <v>384.97</v>
      </c>
    </row>
    <row r="27" spans="2:11" ht="15" customHeight="1" x14ac:dyDescent="0.25">
      <c r="B27" s="14"/>
      <c r="C27" s="14"/>
      <c r="D27" s="54"/>
      <c r="E27" s="56"/>
      <c r="F27" s="56"/>
      <c r="G27" s="56"/>
      <c r="H27" s="55"/>
    </row>
    <row r="28" spans="2:11" s="57" customFormat="1" x14ac:dyDescent="0.25">
      <c r="B28" s="210" t="s">
        <v>104</v>
      </c>
      <c r="C28" s="210"/>
      <c r="D28" s="141" t="s">
        <v>150</v>
      </c>
      <c r="E28" s="142" t="s">
        <v>105</v>
      </c>
      <c r="F28" s="211">
        <v>46174</v>
      </c>
      <c r="G28" s="212"/>
      <c r="H28" s="213"/>
      <c r="I28" s="59"/>
      <c r="J28" s="60"/>
      <c r="K28" s="58"/>
    </row>
    <row r="29" spans="2:11" s="57" customFormat="1" x14ac:dyDescent="0.25">
      <c r="B29" s="210" t="s">
        <v>106</v>
      </c>
      <c r="C29" s="210"/>
      <c r="D29" s="143" t="s">
        <v>151</v>
      </c>
      <c r="E29" s="214"/>
      <c r="F29" s="215"/>
      <c r="G29" s="215"/>
      <c r="H29" s="216"/>
      <c r="I29" s="61"/>
      <c r="J29" s="62"/>
      <c r="K29" s="58"/>
    </row>
    <row r="30" spans="2:11" s="57" customFormat="1" x14ac:dyDescent="0.25">
      <c r="B30" s="210" t="s">
        <v>107</v>
      </c>
      <c r="C30" s="210"/>
      <c r="D30" s="217" t="s">
        <v>46</v>
      </c>
      <c r="E30" s="218"/>
      <c r="F30" s="218"/>
      <c r="G30" s="218"/>
      <c r="H30" s="219"/>
      <c r="I30" s="61"/>
      <c r="J30" s="62"/>
      <c r="K30" s="58"/>
    </row>
    <row r="31" spans="2:11" s="57" customFormat="1" x14ac:dyDescent="0.25">
      <c r="B31" s="130" t="s">
        <v>135</v>
      </c>
      <c r="C31" s="131" t="s">
        <v>136</v>
      </c>
      <c r="D31" s="130" t="s">
        <v>108</v>
      </c>
      <c r="E31" s="130" t="s">
        <v>109</v>
      </c>
      <c r="F31" s="130" t="s">
        <v>110</v>
      </c>
      <c r="G31" s="130" t="s">
        <v>111</v>
      </c>
      <c r="H31" s="130" t="s">
        <v>112</v>
      </c>
      <c r="I31" s="61"/>
      <c r="J31" s="62"/>
      <c r="K31" s="58"/>
    </row>
    <row r="32" spans="2:11" s="57" customFormat="1" ht="25.5" x14ac:dyDescent="0.25">
      <c r="B32" s="132" t="s">
        <v>143</v>
      </c>
      <c r="C32" s="133">
        <v>92265</v>
      </c>
      <c r="D32" s="148" t="s">
        <v>152</v>
      </c>
      <c r="E32" s="133" t="s">
        <v>139</v>
      </c>
      <c r="F32" s="149">
        <f>(0.25+0.7+0.7)*1.05</f>
        <v>1.7324999999999999</v>
      </c>
      <c r="G32" s="150">
        <v>135</v>
      </c>
      <c r="H32" s="150">
        <f>G32*F32</f>
        <v>233.88749999999999</v>
      </c>
      <c r="I32" s="61"/>
      <c r="J32" s="62"/>
      <c r="K32" s="58"/>
    </row>
    <row r="33" spans="1:11" s="57" customFormat="1" ht="25.5" x14ac:dyDescent="0.25">
      <c r="B33" s="132" t="s">
        <v>143</v>
      </c>
      <c r="C33" s="133">
        <v>92760</v>
      </c>
      <c r="D33" s="148" t="s">
        <v>187</v>
      </c>
      <c r="E33" s="133" t="s">
        <v>140</v>
      </c>
      <c r="F33" s="149">
        <v>8.4600000000000009</v>
      </c>
      <c r="G33" s="150">
        <v>12.95</v>
      </c>
      <c r="H33" s="150">
        <f t="shared" ref="H33:H39" si="2">G33*F33</f>
        <v>109.557</v>
      </c>
      <c r="I33" s="61"/>
      <c r="J33" s="62"/>
      <c r="K33" s="58"/>
    </row>
    <row r="34" spans="1:11" s="57" customFormat="1" ht="25.5" x14ac:dyDescent="0.25">
      <c r="B34" s="132" t="s">
        <v>143</v>
      </c>
      <c r="C34" s="133">
        <v>92764</v>
      </c>
      <c r="D34" s="148" t="s">
        <v>188</v>
      </c>
      <c r="E34" s="133" t="s">
        <v>140</v>
      </c>
      <c r="F34" s="149">
        <v>13.88</v>
      </c>
      <c r="G34" s="150">
        <v>8.58</v>
      </c>
      <c r="H34" s="150">
        <f t="shared" si="2"/>
        <v>119.0904</v>
      </c>
      <c r="I34" s="63"/>
      <c r="J34" s="63"/>
      <c r="K34" s="63"/>
    </row>
    <row r="35" spans="1:11" s="57" customFormat="1" ht="25.5" x14ac:dyDescent="0.25">
      <c r="B35" s="132" t="s">
        <v>143</v>
      </c>
      <c r="C35" s="133">
        <v>92763</v>
      </c>
      <c r="D35" s="148" t="s">
        <v>189</v>
      </c>
      <c r="E35" s="133" t="s">
        <v>140</v>
      </c>
      <c r="F35" s="149">
        <v>4.2300000000000004</v>
      </c>
      <c r="G35" s="150">
        <v>8.91</v>
      </c>
      <c r="H35" s="150">
        <f t="shared" si="2"/>
        <v>37.689300000000003</v>
      </c>
    </row>
    <row r="36" spans="1:11" ht="25.5" x14ac:dyDescent="0.25">
      <c r="B36" s="132" t="s">
        <v>143</v>
      </c>
      <c r="C36" s="133">
        <v>92766</v>
      </c>
      <c r="D36" s="148" t="s">
        <v>190</v>
      </c>
      <c r="E36" s="133" t="s">
        <v>140</v>
      </c>
      <c r="F36" s="149">
        <v>33.9</v>
      </c>
      <c r="G36" s="150">
        <v>9.6199999999999992</v>
      </c>
      <c r="H36" s="150">
        <f t="shared" ref="H36:H37" si="3">G36*F36</f>
        <v>326.11799999999994</v>
      </c>
    </row>
    <row r="37" spans="1:11" ht="25.5" x14ac:dyDescent="0.25">
      <c r="B37" s="132" t="s">
        <v>143</v>
      </c>
      <c r="C37" s="133">
        <v>91602</v>
      </c>
      <c r="D37" s="148" t="s">
        <v>191</v>
      </c>
      <c r="E37" s="133" t="s">
        <v>140</v>
      </c>
      <c r="F37" s="149">
        <v>1.74</v>
      </c>
      <c r="G37" s="150">
        <v>10.95</v>
      </c>
      <c r="H37" s="150">
        <f t="shared" si="3"/>
        <v>19.052999999999997</v>
      </c>
    </row>
    <row r="38" spans="1:11" ht="25.5" x14ac:dyDescent="0.25">
      <c r="B38" s="132" t="s">
        <v>143</v>
      </c>
      <c r="C38" s="133">
        <v>94967</v>
      </c>
      <c r="D38" s="148" t="s">
        <v>153</v>
      </c>
      <c r="E38" s="133" t="s">
        <v>155</v>
      </c>
      <c r="F38" s="149">
        <v>0.15</v>
      </c>
      <c r="G38" s="150">
        <v>700.62</v>
      </c>
      <c r="H38" s="150">
        <f t="shared" si="2"/>
        <v>105.093</v>
      </c>
    </row>
    <row r="39" spans="1:11" ht="25.5" x14ac:dyDescent="0.25">
      <c r="B39" s="132" t="s">
        <v>143</v>
      </c>
      <c r="C39" s="133">
        <v>103670</v>
      </c>
      <c r="D39" s="148" t="s">
        <v>154</v>
      </c>
      <c r="E39" s="133" t="s">
        <v>155</v>
      </c>
      <c r="F39" s="149">
        <v>0.15</v>
      </c>
      <c r="G39" s="150">
        <v>330.9</v>
      </c>
      <c r="H39" s="150">
        <f t="shared" si="2"/>
        <v>49.634999999999998</v>
      </c>
    </row>
    <row r="40" spans="1:11" x14ac:dyDescent="0.25">
      <c r="G40" s="146" t="s">
        <v>113</v>
      </c>
      <c r="H40" s="147">
        <f>SUM(H32:H39)</f>
        <v>1000.1231999999999</v>
      </c>
    </row>
    <row r="41" spans="1:11" x14ac:dyDescent="0.25">
      <c r="B41" s="14"/>
      <c r="C41" s="14"/>
      <c r="D41" s="14"/>
      <c r="E41" s="54"/>
      <c r="F41" s="54"/>
      <c r="G41" s="54"/>
      <c r="H41" s="51"/>
    </row>
    <row r="42" spans="1:11" x14ac:dyDescent="0.25">
      <c r="B42" s="14"/>
      <c r="C42" s="14"/>
      <c r="D42" s="14"/>
      <c r="E42" s="56"/>
      <c r="F42" s="56"/>
      <c r="G42" s="56"/>
      <c r="H42" s="51"/>
    </row>
    <row r="43" spans="1:11" x14ac:dyDescent="0.25">
      <c r="B43" s="210" t="s">
        <v>104</v>
      </c>
      <c r="C43" s="210"/>
      <c r="D43" s="141" t="s">
        <v>156</v>
      </c>
      <c r="E43" s="142" t="s">
        <v>105</v>
      </c>
      <c r="F43" s="211">
        <v>46174</v>
      </c>
      <c r="G43" s="212"/>
      <c r="H43" s="213"/>
    </row>
    <row r="44" spans="1:11" x14ac:dyDescent="0.25">
      <c r="B44" s="210" t="s">
        <v>106</v>
      </c>
      <c r="C44" s="210"/>
      <c r="D44" s="143" t="s">
        <v>157</v>
      </c>
      <c r="E44" s="214"/>
      <c r="F44" s="215"/>
      <c r="G44" s="215"/>
      <c r="H44" s="216"/>
    </row>
    <row r="45" spans="1:11" x14ac:dyDescent="0.25">
      <c r="B45" s="210" t="s">
        <v>107</v>
      </c>
      <c r="C45" s="210"/>
      <c r="D45" s="217" t="s">
        <v>25</v>
      </c>
      <c r="E45" s="218"/>
      <c r="F45" s="218"/>
      <c r="G45" s="218"/>
      <c r="H45" s="219"/>
    </row>
    <row r="46" spans="1:11" x14ac:dyDescent="0.25">
      <c r="A46" s="64"/>
      <c r="B46" s="130" t="s">
        <v>135</v>
      </c>
      <c r="C46" s="131" t="s">
        <v>136</v>
      </c>
      <c r="D46" s="130" t="s">
        <v>108</v>
      </c>
      <c r="E46" s="130" t="s">
        <v>109</v>
      </c>
      <c r="F46" s="130" t="s">
        <v>110</v>
      </c>
      <c r="G46" s="130" t="s">
        <v>111</v>
      </c>
      <c r="H46" s="130" t="s">
        <v>112</v>
      </c>
      <c r="I46" s="64"/>
      <c r="J46" s="64"/>
      <c r="K46" s="64"/>
    </row>
    <row r="47" spans="1:11" ht="25.5" x14ac:dyDescent="0.25">
      <c r="A47" s="64"/>
      <c r="B47" s="132" t="s">
        <v>143</v>
      </c>
      <c r="C47" s="133">
        <v>92267</v>
      </c>
      <c r="D47" s="148" t="s">
        <v>158</v>
      </c>
      <c r="E47" s="133" t="s">
        <v>139</v>
      </c>
      <c r="F47" s="149">
        <v>1.1000000000000001</v>
      </c>
      <c r="G47" s="150">
        <v>67.2</v>
      </c>
      <c r="H47" s="150">
        <f>G47*F47</f>
        <v>73.920000000000016</v>
      </c>
      <c r="I47" s="73"/>
      <c r="J47" s="73"/>
      <c r="K47" s="73"/>
    </row>
    <row r="48" spans="1:11" ht="25.5" x14ac:dyDescent="0.25">
      <c r="A48" s="64"/>
      <c r="B48" s="132" t="s">
        <v>147</v>
      </c>
      <c r="C48" s="133">
        <v>42407</v>
      </c>
      <c r="D48" s="148" t="s">
        <v>159</v>
      </c>
      <c r="E48" s="133" t="s">
        <v>49</v>
      </c>
      <c r="F48" s="149">
        <v>6.25</v>
      </c>
      <c r="G48" s="150">
        <v>6.47</v>
      </c>
      <c r="H48" s="150">
        <f t="shared" ref="H48:H51" si="4">G48*F48</f>
        <v>40.4375</v>
      </c>
      <c r="I48" s="67"/>
      <c r="J48" s="68"/>
      <c r="K48" s="66"/>
    </row>
    <row r="49" spans="1:11" ht="25.5" x14ac:dyDescent="0.25">
      <c r="A49" s="64"/>
      <c r="B49" s="132" t="s">
        <v>143</v>
      </c>
      <c r="C49" s="133">
        <v>92770</v>
      </c>
      <c r="D49" s="148" t="s">
        <v>160</v>
      </c>
      <c r="E49" s="133" t="s">
        <v>140</v>
      </c>
      <c r="F49" s="149">
        <v>5</v>
      </c>
      <c r="G49" s="150">
        <v>11.45</v>
      </c>
      <c r="H49" s="150">
        <f t="shared" si="4"/>
        <v>57.25</v>
      </c>
      <c r="I49" s="70"/>
      <c r="J49" s="71"/>
      <c r="K49" s="69"/>
    </row>
    <row r="50" spans="1:11" ht="25.5" x14ac:dyDescent="0.25">
      <c r="A50" s="64"/>
      <c r="B50" s="132" t="s">
        <v>143</v>
      </c>
      <c r="C50" s="133">
        <v>94966</v>
      </c>
      <c r="D50" s="148" t="s">
        <v>161</v>
      </c>
      <c r="E50" s="133" t="s">
        <v>155</v>
      </c>
      <c r="F50" s="149">
        <v>0.04</v>
      </c>
      <c r="G50" s="150">
        <v>606.1</v>
      </c>
      <c r="H50" s="150">
        <f t="shared" si="4"/>
        <v>24.244</v>
      </c>
      <c r="I50" s="70"/>
      <c r="J50" s="72"/>
      <c r="K50" s="69"/>
    </row>
    <row r="51" spans="1:11" ht="25.5" x14ac:dyDescent="0.25">
      <c r="A51" s="64"/>
      <c r="B51" s="132" t="s">
        <v>143</v>
      </c>
      <c r="C51" s="133">
        <v>103670</v>
      </c>
      <c r="D51" s="148" t="s">
        <v>154</v>
      </c>
      <c r="E51" s="133" t="s">
        <v>155</v>
      </c>
      <c r="F51" s="149">
        <v>0.04</v>
      </c>
      <c r="G51" s="150">
        <v>330.9</v>
      </c>
      <c r="H51" s="150">
        <f t="shared" si="4"/>
        <v>13.235999999999999</v>
      </c>
      <c r="I51" s="70"/>
      <c r="J51" s="72"/>
      <c r="K51" s="69"/>
    </row>
    <row r="52" spans="1:11" x14ac:dyDescent="0.25">
      <c r="A52" s="64"/>
      <c r="G52" s="146" t="s">
        <v>113</v>
      </c>
      <c r="H52" s="147">
        <f>SUM(H47:H51)</f>
        <v>209.08750000000001</v>
      </c>
      <c r="I52" s="67"/>
      <c r="J52" s="68"/>
      <c r="K52" s="66"/>
    </row>
    <row r="53" spans="1:11" x14ac:dyDescent="0.25">
      <c r="A53" s="64"/>
      <c r="B53" s="73"/>
      <c r="C53" s="73"/>
      <c r="D53" s="73"/>
      <c r="E53" s="73"/>
      <c r="F53" s="73"/>
      <c r="G53" s="73"/>
      <c r="H53" s="73"/>
      <c r="I53" s="70"/>
      <c r="J53" s="71"/>
      <c r="K53" s="69"/>
    </row>
    <row r="54" spans="1:11" x14ac:dyDescent="0.25">
      <c r="A54" s="64"/>
      <c r="B54" s="210" t="s">
        <v>104</v>
      </c>
      <c r="C54" s="210"/>
      <c r="D54" s="141" t="s">
        <v>163</v>
      </c>
      <c r="E54" s="142" t="s">
        <v>105</v>
      </c>
      <c r="F54" s="211">
        <v>46174</v>
      </c>
      <c r="G54" s="212"/>
      <c r="H54" s="213"/>
      <c r="I54" s="70"/>
      <c r="J54" s="72"/>
      <c r="K54" s="69"/>
    </row>
    <row r="55" spans="1:11" x14ac:dyDescent="0.25">
      <c r="A55" s="64"/>
      <c r="B55" s="210" t="s">
        <v>106</v>
      </c>
      <c r="C55" s="210"/>
      <c r="D55" s="141" t="s">
        <v>162</v>
      </c>
      <c r="E55" s="214"/>
      <c r="F55" s="215"/>
      <c r="G55" s="215"/>
      <c r="H55" s="216"/>
      <c r="I55" s="70"/>
      <c r="J55" s="72"/>
      <c r="K55" s="69"/>
    </row>
    <row r="56" spans="1:11" x14ac:dyDescent="0.25">
      <c r="A56" s="64"/>
      <c r="B56" s="210" t="s">
        <v>107</v>
      </c>
      <c r="C56" s="210"/>
      <c r="D56" s="217" t="s">
        <v>46</v>
      </c>
      <c r="E56" s="218"/>
      <c r="F56" s="218"/>
      <c r="G56" s="218"/>
      <c r="H56" s="219"/>
      <c r="I56" s="70"/>
      <c r="J56" s="72"/>
      <c r="K56" s="69"/>
    </row>
    <row r="57" spans="1:11" x14ac:dyDescent="0.25">
      <c r="A57" s="64"/>
      <c r="B57" s="130" t="s">
        <v>135</v>
      </c>
      <c r="C57" s="131" t="s">
        <v>136</v>
      </c>
      <c r="D57" s="130" t="s">
        <v>108</v>
      </c>
      <c r="E57" s="130" t="s">
        <v>109</v>
      </c>
      <c r="F57" s="130" t="s">
        <v>110</v>
      </c>
      <c r="G57" s="130" t="s">
        <v>111</v>
      </c>
      <c r="H57" s="130" t="s">
        <v>112</v>
      </c>
      <c r="I57" s="70"/>
      <c r="J57" s="72"/>
      <c r="K57" s="69"/>
    </row>
    <row r="58" spans="1:11" ht="25.5" x14ac:dyDescent="0.25">
      <c r="A58" s="64"/>
      <c r="B58" s="132" t="s">
        <v>143</v>
      </c>
      <c r="C58" s="133">
        <v>92267</v>
      </c>
      <c r="D58" s="148" t="s">
        <v>158</v>
      </c>
      <c r="E58" s="133" t="s">
        <v>139</v>
      </c>
      <c r="F58" s="149">
        <v>0.44</v>
      </c>
      <c r="G58" s="150">
        <v>67.2</v>
      </c>
      <c r="H58" s="150">
        <f>G58*F58</f>
        <v>29.568000000000001</v>
      </c>
      <c r="I58" s="70"/>
      <c r="J58" s="72"/>
      <c r="K58" s="69"/>
    </row>
    <row r="59" spans="1:11" ht="25.5" x14ac:dyDescent="0.25">
      <c r="A59" s="64"/>
      <c r="B59" s="132" t="s">
        <v>147</v>
      </c>
      <c r="C59" s="133">
        <v>42407</v>
      </c>
      <c r="D59" s="148" t="s">
        <v>159</v>
      </c>
      <c r="E59" s="133" t="s">
        <v>49</v>
      </c>
      <c r="F59" s="149">
        <v>1</v>
      </c>
      <c r="G59" s="150">
        <v>6.47</v>
      </c>
      <c r="H59" s="150">
        <f t="shared" ref="H59:H62" si="5">G59*F59</f>
        <v>6.47</v>
      </c>
      <c r="I59" s="66"/>
      <c r="J59" s="66"/>
      <c r="K59" s="66"/>
    </row>
    <row r="60" spans="1:11" ht="25.5" x14ac:dyDescent="0.25">
      <c r="A60" s="64"/>
      <c r="B60" s="132" t="s">
        <v>143</v>
      </c>
      <c r="C60" s="133">
        <v>92762</v>
      </c>
      <c r="D60" s="148" t="s">
        <v>192</v>
      </c>
      <c r="E60" s="133" t="s">
        <v>140</v>
      </c>
      <c r="F60" s="149">
        <v>1.22</v>
      </c>
      <c r="G60" s="150">
        <v>10.65</v>
      </c>
      <c r="H60" s="150">
        <f t="shared" si="5"/>
        <v>12.993</v>
      </c>
      <c r="I60" s="64"/>
      <c r="J60" s="64"/>
      <c r="K60" s="64"/>
    </row>
    <row r="61" spans="1:11" ht="25.5" x14ac:dyDescent="0.25">
      <c r="A61" s="64"/>
      <c r="B61" s="132" t="s">
        <v>143</v>
      </c>
      <c r="C61" s="133">
        <v>94966</v>
      </c>
      <c r="D61" s="148" t="s">
        <v>161</v>
      </c>
      <c r="E61" s="133" t="s">
        <v>155</v>
      </c>
      <c r="F61" s="149">
        <v>3.5000000000000003E-2</v>
      </c>
      <c r="G61" s="150">
        <v>606.1</v>
      </c>
      <c r="H61" s="150">
        <f t="shared" si="5"/>
        <v>21.213500000000003</v>
      </c>
      <c r="I61" s="64"/>
      <c r="J61" s="64"/>
      <c r="K61" s="64"/>
    </row>
    <row r="62" spans="1:11" ht="25.5" x14ac:dyDescent="0.25">
      <c r="A62" s="64"/>
      <c r="B62" s="132" t="s">
        <v>143</v>
      </c>
      <c r="C62" s="133">
        <v>103670</v>
      </c>
      <c r="D62" s="148" t="s">
        <v>154</v>
      </c>
      <c r="E62" s="133" t="s">
        <v>155</v>
      </c>
      <c r="F62" s="149">
        <v>3.5000000000000003E-2</v>
      </c>
      <c r="G62" s="150">
        <v>330.9</v>
      </c>
      <c r="H62" s="150">
        <f t="shared" si="5"/>
        <v>11.5815</v>
      </c>
      <c r="I62" s="64"/>
      <c r="J62" s="64"/>
      <c r="K62" s="64"/>
    </row>
    <row r="63" spans="1:11" x14ac:dyDescent="0.25">
      <c r="A63" s="64"/>
      <c r="G63" s="146" t="s">
        <v>113</v>
      </c>
      <c r="H63" s="147">
        <f>SUM(H58:H62)</f>
        <v>81.826000000000022</v>
      </c>
      <c r="I63" s="64"/>
      <c r="J63" s="64"/>
      <c r="K63" s="64"/>
    </row>
    <row r="64" spans="1:11" x14ac:dyDescent="0.25">
      <c r="A64" s="64"/>
      <c r="B64" s="65"/>
      <c r="C64" s="65"/>
      <c r="D64" s="65"/>
      <c r="E64" s="65"/>
      <c r="F64" s="65"/>
      <c r="G64" s="65"/>
      <c r="H64" s="65"/>
      <c r="I64" s="64"/>
      <c r="J64" s="64"/>
      <c r="K64" s="64"/>
    </row>
    <row r="65" spans="2:8" x14ac:dyDescent="0.25">
      <c r="B65" s="65"/>
      <c r="C65" s="65"/>
      <c r="D65" s="65"/>
      <c r="E65" s="65"/>
      <c r="F65" s="65"/>
      <c r="G65" s="65"/>
      <c r="H65" s="65"/>
    </row>
    <row r="66" spans="2:8" x14ac:dyDescent="0.25">
      <c r="B66" s="210" t="s">
        <v>104</v>
      </c>
      <c r="C66" s="210"/>
      <c r="D66" s="141" t="s">
        <v>225</v>
      </c>
      <c r="E66" s="142" t="s">
        <v>105</v>
      </c>
      <c r="F66" s="211">
        <v>46174</v>
      </c>
      <c r="G66" s="212"/>
      <c r="H66" s="213"/>
    </row>
    <row r="67" spans="2:8" x14ac:dyDescent="0.25">
      <c r="B67" s="210" t="s">
        <v>106</v>
      </c>
      <c r="C67" s="210"/>
      <c r="D67" s="141" t="s">
        <v>226</v>
      </c>
      <c r="E67" s="214"/>
      <c r="F67" s="215"/>
      <c r="G67" s="215"/>
      <c r="H67" s="216"/>
    </row>
    <row r="68" spans="2:8" x14ac:dyDescent="0.25">
      <c r="B68" s="210" t="s">
        <v>107</v>
      </c>
      <c r="C68" s="210"/>
      <c r="D68" s="217" t="s">
        <v>25</v>
      </c>
      <c r="E68" s="218"/>
      <c r="F68" s="218"/>
      <c r="G68" s="218"/>
      <c r="H68" s="219"/>
    </row>
    <row r="69" spans="2:8" x14ac:dyDescent="0.25">
      <c r="B69" s="130" t="s">
        <v>135</v>
      </c>
      <c r="C69" s="131" t="s">
        <v>136</v>
      </c>
      <c r="D69" s="130" t="s">
        <v>108</v>
      </c>
      <c r="E69" s="130" t="s">
        <v>109</v>
      </c>
      <c r="F69" s="130" t="s">
        <v>110</v>
      </c>
      <c r="G69" s="130" t="s">
        <v>111</v>
      </c>
      <c r="H69" s="130" t="s">
        <v>112</v>
      </c>
    </row>
    <row r="70" spans="2:8" ht="25.5" x14ac:dyDescent="0.25">
      <c r="B70" s="132" t="s">
        <v>143</v>
      </c>
      <c r="C70" s="133">
        <v>96528</v>
      </c>
      <c r="D70" s="148" t="s">
        <v>227</v>
      </c>
      <c r="E70" s="133" t="s">
        <v>139</v>
      </c>
      <c r="F70" s="149">
        <v>2</v>
      </c>
      <c r="G70" s="150">
        <v>149.4</v>
      </c>
      <c r="H70" s="150">
        <f>G70*F70</f>
        <v>298.8</v>
      </c>
    </row>
    <row r="71" spans="2:8" x14ac:dyDescent="0.25">
      <c r="G71" s="146" t="s">
        <v>113</v>
      </c>
      <c r="H71" s="147">
        <f>SUM(H70:H70)</f>
        <v>298.8</v>
      </c>
    </row>
    <row r="72" spans="2:8" x14ac:dyDescent="0.25">
      <c r="G72" s="80"/>
      <c r="H72" s="81"/>
    </row>
    <row r="73" spans="2:8" x14ac:dyDescent="0.25">
      <c r="G73" s="80"/>
      <c r="H73" s="81"/>
    </row>
    <row r="74" spans="2:8" x14ac:dyDescent="0.25">
      <c r="G74" s="80"/>
      <c r="H74" s="81"/>
    </row>
    <row r="75" spans="2:8" x14ac:dyDescent="0.25">
      <c r="G75" s="80"/>
      <c r="H75" s="81"/>
    </row>
    <row r="76" spans="2:8" x14ac:dyDescent="0.25">
      <c r="G76" s="80"/>
      <c r="H76" s="81"/>
    </row>
    <row r="77" spans="2:8" x14ac:dyDescent="0.25">
      <c r="G77" s="80"/>
      <c r="H77" s="81"/>
    </row>
    <row r="78" spans="2:8" x14ac:dyDescent="0.25">
      <c r="G78" s="80"/>
      <c r="H78" s="81"/>
    </row>
    <row r="79" spans="2:8" x14ac:dyDescent="0.25">
      <c r="G79" s="80"/>
      <c r="H79" s="81"/>
    </row>
    <row r="81" spans="2:8" x14ac:dyDescent="0.25">
      <c r="B81" s="210" t="s">
        <v>104</v>
      </c>
      <c r="C81" s="210"/>
      <c r="D81" s="141" t="s">
        <v>228</v>
      </c>
      <c r="E81" s="142" t="s">
        <v>105</v>
      </c>
      <c r="F81" s="211">
        <v>46174</v>
      </c>
      <c r="G81" s="212"/>
      <c r="H81" s="213"/>
    </row>
    <row r="82" spans="2:8" x14ac:dyDescent="0.25">
      <c r="B82" s="210" t="s">
        <v>106</v>
      </c>
      <c r="C82" s="210"/>
      <c r="D82" s="141" t="s">
        <v>229</v>
      </c>
      <c r="E82" s="214"/>
      <c r="F82" s="215"/>
      <c r="G82" s="215"/>
      <c r="H82" s="216"/>
    </row>
    <row r="83" spans="2:8" x14ac:dyDescent="0.25">
      <c r="B83" s="210" t="s">
        <v>107</v>
      </c>
      <c r="C83" s="210"/>
      <c r="D83" s="217" t="s">
        <v>25</v>
      </c>
      <c r="E83" s="218"/>
      <c r="F83" s="218"/>
      <c r="G83" s="218"/>
      <c r="H83" s="219"/>
    </row>
    <row r="84" spans="2:8" x14ac:dyDescent="0.25">
      <c r="B84" s="130" t="s">
        <v>135</v>
      </c>
      <c r="C84" s="131" t="s">
        <v>136</v>
      </c>
      <c r="D84" s="130" t="s">
        <v>108</v>
      </c>
      <c r="E84" s="130" t="s">
        <v>109</v>
      </c>
      <c r="F84" s="130" t="s">
        <v>110</v>
      </c>
      <c r="G84" s="130" t="s">
        <v>111</v>
      </c>
      <c r="H84" s="130" t="s">
        <v>112</v>
      </c>
    </row>
    <row r="85" spans="2:8" ht="25.5" x14ac:dyDescent="0.25">
      <c r="B85" s="132" t="s">
        <v>143</v>
      </c>
      <c r="C85" s="133">
        <v>92267</v>
      </c>
      <c r="D85" s="148" t="s">
        <v>158</v>
      </c>
      <c r="E85" s="133" t="s">
        <v>139</v>
      </c>
      <c r="F85" s="149">
        <v>2</v>
      </c>
      <c r="G85" s="150">
        <v>67.2</v>
      </c>
      <c r="H85" s="150">
        <f>G85*F85</f>
        <v>134.4</v>
      </c>
    </row>
    <row r="86" spans="2:8" ht="38.25" x14ac:dyDescent="0.25">
      <c r="B86" s="132" t="s">
        <v>147</v>
      </c>
      <c r="C86" s="133">
        <v>7156</v>
      </c>
      <c r="D86" s="148" t="s">
        <v>230</v>
      </c>
      <c r="E86" s="133" t="s">
        <v>139</v>
      </c>
      <c r="F86" s="149">
        <v>2</v>
      </c>
      <c r="G86" s="150">
        <v>19.760000000000002</v>
      </c>
      <c r="H86" s="150">
        <f t="shared" ref="H86:H89" si="6">G86*F86</f>
        <v>39.520000000000003</v>
      </c>
    </row>
    <row r="87" spans="2:8" ht="25.5" x14ac:dyDescent="0.25">
      <c r="B87" s="132" t="s">
        <v>143</v>
      </c>
      <c r="C87" s="133">
        <v>92762</v>
      </c>
      <c r="D87" s="148" t="s">
        <v>192</v>
      </c>
      <c r="E87" s="133" t="s">
        <v>140</v>
      </c>
      <c r="F87" s="149">
        <v>7.4</v>
      </c>
      <c r="G87" s="150">
        <v>10.65</v>
      </c>
      <c r="H87" s="150">
        <f t="shared" si="6"/>
        <v>78.81</v>
      </c>
    </row>
    <row r="88" spans="2:8" ht="25.5" x14ac:dyDescent="0.25">
      <c r="B88" s="132" t="s">
        <v>143</v>
      </c>
      <c r="C88" s="133">
        <v>94966</v>
      </c>
      <c r="D88" s="148" t="s">
        <v>161</v>
      </c>
      <c r="E88" s="133" t="s">
        <v>155</v>
      </c>
      <c r="F88" s="149">
        <v>0.15</v>
      </c>
      <c r="G88" s="150">
        <v>606.1</v>
      </c>
      <c r="H88" s="150">
        <f t="shared" si="6"/>
        <v>90.915000000000006</v>
      </c>
    </row>
    <row r="89" spans="2:8" ht="25.5" x14ac:dyDescent="0.25">
      <c r="B89" s="132" t="s">
        <v>143</v>
      </c>
      <c r="C89" s="133">
        <v>103670</v>
      </c>
      <c r="D89" s="148" t="s">
        <v>154</v>
      </c>
      <c r="E89" s="133" t="s">
        <v>155</v>
      </c>
      <c r="F89" s="149">
        <v>0.15</v>
      </c>
      <c r="G89" s="150">
        <v>330.9</v>
      </c>
      <c r="H89" s="150">
        <f t="shared" si="6"/>
        <v>49.634999999999998</v>
      </c>
    </row>
    <row r="90" spans="2:8" x14ac:dyDescent="0.25">
      <c r="G90" s="146" t="s">
        <v>113</v>
      </c>
      <c r="H90" s="147">
        <f>SUM(H85:H89)</f>
        <v>393.28000000000003</v>
      </c>
    </row>
    <row r="99" spans="6:8" x14ac:dyDescent="0.25">
      <c r="F99" s="182" t="s">
        <v>359</v>
      </c>
      <c r="G99" s="182"/>
      <c r="H99" s="182"/>
    </row>
    <row r="100" spans="6:8" x14ac:dyDescent="0.25">
      <c r="F100" s="75"/>
      <c r="G100" s="75"/>
      <c r="H100" s="75"/>
    </row>
    <row r="101" spans="6:8" x14ac:dyDescent="0.25">
      <c r="F101" s="75"/>
      <c r="G101" s="75"/>
      <c r="H101" s="75"/>
    </row>
    <row r="102" spans="6:8" x14ac:dyDescent="0.25">
      <c r="F102" s="14"/>
      <c r="G102" s="14"/>
      <c r="H102" s="14"/>
    </row>
    <row r="103" spans="6:8" x14ac:dyDescent="0.25">
      <c r="F103" s="14"/>
      <c r="G103" s="14"/>
      <c r="H103" s="14"/>
    </row>
    <row r="104" spans="6:8" x14ac:dyDescent="0.25">
      <c r="F104" s="16"/>
      <c r="G104" s="15"/>
      <c r="H104" s="15"/>
    </row>
    <row r="105" spans="6:8" x14ac:dyDescent="0.25">
      <c r="F105" s="50"/>
      <c r="G105" s="177" t="s">
        <v>125</v>
      </c>
      <c r="H105" s="177"/>
    </row>
    <row r="106" spans="6:8" x14ac:dyDescent="0.25">
      <c r="F106" s="16"/>
      <c r="G106" s="170" t="s">
        <v>126</v>
      </c>
      <c r="H106" s="170"/>
    </row>
    <row r="107" spans="6:8" x14ac:dyDescent="0.25">
      <c r="F107" s="16"/>
      <c r="G107" s="170" t="s">
        <v>127</v>
      </c>
      <c r="H107" s="170"/>
    </row>
  </sheetData>
  <mergeCells count="49">
    <mergeCell ref="F99:H99"/>
    <mergeCell ref="G105:H105"/>
    <mergeCell ref="G106:H106"/>
    <mergeCell ref="G107:H107"/>
    <mergeCell ref="B43:C43"/>
    <mergeCell ref="F43:H43"/>
    <mergeCell ref="B44:C44"/>
    <mergeCell ref="E44:H44"/>
    <mergeCell ref="B56:C56"/>
    <mergeCell ref="D56:H56"/>
    <mergeCell ref="B45:C45"/>
    <mergeCell ref="D45:H45"/>
    <mergeCell ref="B54:C54"/>
    <mergeCell ref="F54:H54"/>
    <mergeCell ref="B55:C55"/>
    <mergeCell ref="E55:H55"/>
    <mergeCell ref="B16:C16"/>
    <mergeCell ref="B17:C17"/>
    <mergeCell ref="E17:H17"/>
    <mergeCell ref="B30:C30"/>
    <mergeCell ref="D30:H30"/>
    <mergeCell ref="B18:C18"/>
    <mergeCell ref="D18:H18"/>
    <mergeCell ref="B28:C28"/>
    <mergeCell ref="B29:C29"/>
    <mergeCell ref="F28:H28"/>
    <mergeCell ref="E29:H29"/>
    <mergeCell ref="F16:H16"/>
    <mergeCell ref="B1:H1"/>
    <mergeCell ref="B6:C6"/>
    <mergeCell ref="B7:C7"/>
    <mergeCell ref="B8:C8"/>
    <mergeCell ref="D8:H8"/>
    <mergeCell ref="E7:H7"/>
    <mergeCell ref="B3:H3"/>
    <mergeCell ref="B4:H4"/>
    <mergeCell ref="F6:H6"/>
    <mergeCell ref="B66:C66"/>
    <mergeCell ref="F66:H66"/>
    <mergeCell ref="B67:C67"/>
    <mergeCell ref="E67:H67"/>
    <mergeCell ref="B68:C68"/>
    <mergeCell ref="D68:H68"/>
    <mergeCell ref="B81:C81"/>
    <mergeCell ref="F81:H81"/>
    <mergeCell ref="B82:C82"/>
    <mergeCell ref="E82:H82"/>
    <mergeCell ref="B83:C83"/>
    <mergeCell ref="D83:H83"/>
  </mergeCells>
  <pageMargins left="0.25" right="0.25" top="0.75" bottom="0.75" header="0.3" footer="0.3"/>
  <pageSetup paperSize="9" scale="7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stopIfTrue="1" id="{79FD6C49-28E1-4539-A990-C723193C3664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8" stopIfTrue="1" id="{1A5224A3-6325-4BF6-97BF-7D51858B9A1A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J48:K55 J56 K56:K58</xm:sqref>
        </x14:conditionalFormatting>
        <x14:conditionalFormatting xmlns:xm="http://schemas.microsoft.com/office/excel/2006/main">
          <x14:cfRule type="expression" priority="9" stopIfTrue="1" id="{F72751C9-F1D5-4A38-8C1E-A5C45136DAF5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10" stopIfTrue="1" id="{0215E2EA-B11F-40A9-8E04-4BD277C455E7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J57 I59:K59</xm:sqref>
        </x14:conditionalFormatting>
        <x14:conditionalFormatting xmlns:xm="http://schemas.microsoft.com/office/excel/2006/main">
          <x14:cfRule type="expression" priority="13" stopIfTrue="1" id="{DA04BF0C-9A62-4D97-B37C-8BDCAEE829BF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14" stopIfTrue="1" id="{5C4EBCBC-5D00-47CF-9EAF-53404BE60283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J58</xm:sqref>
        </x14:conditionalFormatting>
        <x14:conditionalFormatting xmlns:xm="http://schemas.microsoft.com/office/excel/2006/main">
          <x14:cfRule type="expression" priority="1" stopIfTrue="1" id="{C5BB15B4-DCC2-4F45-8ED0-0C329FFA0A98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2" stopIfTrue="1" id="{DF473E9A-1C52-4BEE-8E11-232572612D04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J28:K30 J31 K31:K33</xm:sqref>
        </x14:conditionalFormatting>
        <x14:conditionalFormatting xmlns:xm="http://schemas.microsoft.com/office/excel/2006/main">
          <x14:cfRule type="expression" priority="3" stopIfTrue="1" id="{E77EB7FC-ECD0-486D-9DD3-6AD8DD6AC6E0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4" stopIfTrue="1" id="{AD02D89C-B4A7-4565-9291-E3860A6FF4FB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I34:K34 J32</xm:sqref>
        </x14:conditionalFormatting>
        <x14:conditionalFormatting xmlns:xm="http://schemas.microsoft.com/office/excel/2006/main">
          <x14:cfRule type="expression" priority="5" stopIfTrue="1" id="{7340ED10-E779-438C-8BD1-AF8BF4CB059C}">
            <xm:f>AND('C:\Users\Angelica\Desktop\Prefeitura Floriano\Capela Mortuária\[Planilha orçamentária.xlsx]Composições'!#REF!&lt;&gt;"COMPOSICAO",'C:\Users\Angelica\Desktop\Prefeitura Floriano\Capela Mortuária\[Planilha orçamentária.xlsx]Composições'!#REF!&lt;&gt;"INSUMO",'C:\Users\Angelica\Desktop\Prefeitura Floriano\Capela Mortuária\[Planilha orçamentária.xlsx]Composições'!#REF!&lt;&gt;"")</xm:f>
            <x14:dxf>
              <font>
                <b/>
                <i val="0"/>
                <condense val="0"/>
                <extend val="0"/>
              </font>
              <fill>
                <patternFill>
                  <bgColor rgb="FFC0C0C0"/>
                </patternFill>
              </fill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14:cfRule type="expression" priority="6" stopIfTrue="1" id="{5072BE73-EF47-4563-A9F1-19824AEFAEC9}">
            <xm:f>AND(OR('C:\Users\Angelica\Desktop\Prefeitura Floriano\Capela Mortuária\[Planilha orçamentária.xlsx]Composições'!#REF!="COMPOSICAO",'C:\Users\Angelica\Desktop\Prefeitura Floriano\Capela Mortuária\[Planilha orçamentária.xlsx]Composições'!#REF!="INSUMO",'C:\Users\Angelica\Desktop\Prefeitura Floriano\Capela Mortuária\[Planilha orçamentária.xlsx]Composições'!#REF!&lt;&gt;""),'C:\Users\Angelica\Desktop\Prefeitura Floriano\Capela Mortuária\[Planilha orçamentária.xlsx]Composições'!#REF!&lt;&gt;"")</xm:f>
            <x14:dxf>
              <border>
                <left style="thin">
                  <color rgb="FF000000"/>
                </left>
                <right style="thin">
                  <color rgb="FF000000"/>
                </right>
                <top style="thin">
                  <color rgb="FF000000"/>
                </top>
                <bottom style="thin">
                  <color rgb="FF000000"/>
                </bottom>
              </border>
            </x14:dxf>
          </x14:cfRule>
          <xm:sqref>J33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zoomScale="80" zoomScaleNormal="80" workbookViewId="0">
      <selection activeCell="E3" sqref="E3"/>
    </sheetView>
  </sheetViews>
  <sheetFormatPr defaultRowHeight="15" x14ac:dyDescent="0.25"/>
  <cols>
    <col min="1" max="1" width="30.85546875" bestFit="1" customWidth="1"/>
    <col min="2" max="2" width="19.5703125" bestFit="1" customWidth="1"/>
    <col min="3" max="3" width="21.28515625" bestFit="1" customWidth="1"/>
    <col min="4" max="4" width="19.7109375" bestFit="1" customWidth="1"/>
    <col min="5" max="5" width="21.28515625" bestFit="1" customWidth="1"/>
    <col min="6" max="6" width="19.7109375" bestFit="1" customWidth="1"/>
    <col min="7" max="7" width="15.85546875" bestFit="1" customWidth="1"/>
    <col min="8" max="8" width="21.28515625" bestFit="1" customWidth="1"/>
    <col min="9" max="9" width="19.85546875" bestFit="1" customWidth="1"/>
    <col min="10" max="11" width="17.140625" bestFit="1" customWidth="1"/>
    <col min="12" max="12" width="13.7109375" bestFit="1" customWidth="1"/>
  </cols>
  <sheetData>
    <row r="1" spans="1:12" ht="15.75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 ht="15.75" x14ac:dyDescent="0.25">
      <c r="A2" s="237" t="s">
        <v>313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</row>
    <row r="3" spans="1:12" ht="15.75" x14ac:dyDescent="0.25">
      <c r="A3" s="45"/>
      <c r="B3" s="45"/>
      <c r="C3" s="45"/>
      <c r="D3" s="39"/>
      <c r="E3" s="39"/>
      <c r="F3" s="39"/>
      <c r="G3" s="39"/>
      <c r="H3" s="39"/>
      <c r="I3" s="39"/>
      <c r="J3" s="39"/>
      <c r="K3" s="39"/>
      <c r="L3" s="40"/>
    </row>
    <row r="4" spans="1:12" ht="15.75" x14ac:dyDescent="0.25">
      <c r="A4" s="229" t="s">
        <v>23</v>
      </c>
      <c r="B4" s="230"/>
      <c r="C4" s="231"/>
      <c r="D4" s="39"/>
      <c r="E4" s="39"/>
      <c r="F4" s="39"/>
      <c r="G4" s="39"/>
      <c r="H4" s="39"/>
      <c r="I4" s="39"/>
      <c r="J4" s="39"/>
      <c r="K4" s="39"/>
      <c r="L4" s="40"/>
    </row>
    <row r="5" spans="1:12" ht="15.75" x14ac:dyDescent="0.25">
      <c r="A5" s="151"/>
      <c r="B5" s="151"/>
      <c r="C5" s="151"/>
      <c r="D5" s="39"/>
      <c r="E5" s="39"/>
      <c r="F5" s="39"/>
      <c r="G5" s="39"/>
      <c r="H5" s="39"/>
      <c r="I5" s="39"/>
      <c r="J5" s="39"/>
      <c r="K5" s="39"/>
      <c r="L5" s="40"/>
    </row>
    <row r="6" spans="1:12" ht="15.75" x14ac:dyDescent="0.25">
      <c r="A6" s="229" t="s">
        <v>222</v>
      </c>
      <c r="B6" s="230"/>
      <c r="C6" s="231"/>
      <c r="D6" s="39"/>
      <c r="E6" s="39"/>
      <c r="F6" s="39"/>
      <c r="G6" s="39"/>
      <c r="H6" s="39"/>
      <c r="I6" s="39"/>
      <c r="J6" s="39"/>
      <c r="K6" s="39"/>
      <c r="L6" s="40"/>
    </row>
    <row r="7" spans="1:12" ht="15.75" x14ac:dyDescent="0.25">
      <c r="A7" s="151"/>
      <c r="B7" s="151"/>
      <c r="C7" s="151"/>
      <c r="D7" s="39"/>
      <c r="E7" s="39"/>
      <c r="F7" s="39"/>
      <c r="G7" s="39"/>
      <c r="H7" s="39"/>
      <c r="I7" s="39"/>
      <c r="J7" s="39"/>
      <c r="K7" s="39"/>
      <c r="L7" s="40"/>
    </row>
    <row r="8" spans="1:12" ht="15.75" x14ac:dyDescent="0.25">
      <c r="A8" s="232" t="s">
        <v>7</v>
      </c>
      <c r="B8" s="86" t="s">
        <v>114</v>
      </c>
      <c r="C8" s="86" t="s">
        <v>115</v>
      </c>
      <c r="D8" s="86" t="s">
        <v>116</v>
      </c>
      <c r="E8" s="233" t="s">
        <v>117</v>
      </c>
      <c r="F8" s="235" t="s">
        <v>11</v>
      </c>
      <c r="G8" s="39"/>
      <c r="H8" s="39"/>
      <c r="I8" s="40"/>
      <c r="J8" s="38"/>
      <c r="K8" s="38"/>
      <c r="L8" s="38"/>
    </row>
    <row r="9" spans="1:12" ht="15.75" x14ac:dyDescent="0.25">
      <c r="A9" s="232"/>
      <c r="B9" s="87" t="s">
        <v>314</v>
      </c>
      <c r="C9" s="87" t="s">
        <v>314</v>
      </c>
      <c r="D9" s="87" t="s">
        <v>119</v>
      </c>
      <c r="E9" s="234"/>
      <c r="F9" s="236"/>
      <c r="G9" s="39"/>
      <c r="H9" s="39"/>
      <c r="I9" s="40"/>
      <c r="J9" s="38"/>
      <c r="K9" s="38"/>
      <c r="L9" s="38"/>
    </row>
    <row r="10" spans="1:12" ht="15.75" x14ac:dyDescent="0.25">
      <c r="A10" s="88" t="s">
        <v>315</v>
      </c>
      <c r="B10" s="44">
        <v>3.1415000000000002</v>
      </c>
      <c r="C10" s="88"/>
      <c r="D10" s="88">
        <v>2</v>
      </c>
      <c r="E10" s="88">
        <v>4</v>
      </c>
      <c r="F10" s="88">
        <f>B10*D10*E10</f>
        <v>25.132000000000001</v>
      </c>
      <c r="G10" s="39"/>
      <c r="H10" s="39"/>
      <c r="I10" s="40"/>
      <c r="J10" s="38"/>
      <c r="K10" s="38"/>
      <c r="L10" s="38"/>
    </row>
    <row r="11" spans="1:12" ht="15.75" x14ac:dyDescent="0.25">
      <c r="A11" s="88" t="s">
        <v>316</v>
      </c>
      <c r="B11" s="44">
        <v>36</v>
      </c>
      <c r="C11" s="88"/>
      <c r="D11" s="88">
        <v>1.5</v>
      </c>
      <c r="E11" s="88"/>
      <c r="F11" s="88">
        <f>B11*D11</f>
        <v>54</v>
      </c>
      <c r="G11" s="39"/>
      <c r="H11" s="39"/>
      <c r="I11" s="40"/>
      <c r="J11" s="38"/>
      <c r="K11" s="38"/>
      <c r="L11" s="38"/>
    </row>
    <row r="12" spans="1:12" ht="15.75" x14ac:dyDescent="0.25">
      <c r="A12" s="88" t="s">
        <v>317</v>
      </c>
      <c r="B12" s="44">
        <v>36</v>
      </c>
      <c r="C12" s="88"/>
      <c r="D12" s="88">
        <v>1</v>
      </c>
      <c r="E12" s="88"/>
      <c r="F12" s="88">
        <f>B12*D12</f>
        <v>36</v>
      </c>
      <c r="G12" s="39"/>
      <c r="H12" s="39"/>
      <c r="I12" s="40"/>
      <c r="J12" s="38"/>
      <c r="K12" s="38"/>
      <c r="L12" s="38"/>
    </row>
    <row r="13" spans="1:12" ht="15.75" x14ac:dyDescent="0.25">
      <c r="A13" s="225" t="s">
        <v>318</v>
      </c>
      <c r="B13" s="44">
        <v>2.5</v>
      </c>
      <c r="C13" s="88"/>
      <c r="D13" s="88"/>
      <c r="E13" s="88">
        <v>32</v>
      </c>
      <c r="F13" s="88">
        <f>(E13*B13*1.578)-0.07</f>
        <v>126.17000000000002</v>
      </c>
      <c r="G13" s="39"/>
      <c r="H13" s="39"/>
      <c r="I13" s="40"/>
      <c r="J13" s="38"/>
      <c r="K13" s="38"/>
      <c r="L13" s="38"/>
    </row>
    <row r="14" spans="1:12" ht="15.75" x14ac:dyDescent="0.25">
      <c r="A14" s="227"/>
      <c r="B14" s="44">
        <v>2</v>
      </c>
      <c r="C14" s="88"/>
      <c r="D14" s="88"/>
      <c r="E14" s="88">
        <v>30</v>
      </c>
      <c r="F14" s="88">
        <f>(E14*B14*1.578)</f>
        <v>94.68</v>
      </c>
      <c r="G14" s="221" t="s">
        <v>319</v>
      </c>
      <c r="H14" s="222"/>
      <c r="I14" s="40"/>
      <c r="J14" s="38"/>
      <c r="K14" s="38"/>
      <c r="L14" s="38"/>
    </row>
    <row r="15" spans="1:12" ht="15.75" x14ac:dyDescent="0.25">
      <c r="A15" s="225" t="s">
        <v>320</v>
      </c>
      <c r="B15" s="44">
        <v>15</v>
      </c>
      <c r="C15" s="88"/>
      <c r="D15" s="88"/>
      <c r="E15" s="88">
        <v>60</v>
      </c>
      <c r="F15" s="88">
        <f>E15*B15*0.395*1.1</f>
        <v>391.05</v>
      </c>
      <c r="G15" s="152"/>
      <c r="H15" s="153"/>
      <c r="I15" s="40"/>
      <c r="J15" s="38"/>
      <c r="K15" s="38"/>
      <c r="L15" s="38"/>
    </row>
    <row r="16" spans="1:12" ht="15.75" x14ac:dyDescent="0.25">
      <c r="A16" s="227"/>
      <c r="B16" s="44"/>
      <c r="C16" s="88"/>
      <c r="D16" s="88"/>
      <c r="E16" s="88"/>
      <c r="F16" s="88"/>
      <c r="G16" s="221" t="s">
        <v>321</v>
      </c>
      <c r="H16" s="222"/>
      <c r="I16" s="40"/>
      <c r="J16" s="38"/>
      <c r="K16" s="38"/>
      <c r="L16" s="38"/>
    </row>
    <row r="17" spans="1:12" ht="15.75" x14ac:dyDescent="0.25">
      <c r="A17" s="85" t="s">
        <v>322</v>
      </c>
      <c r="B17" s="44">
        <v>5.7</v>
      </c>
      <c r="C17" s="88"/>
      <c r="D17" s="88"/>
      <c r="E17" s="88">
        <v>160</v>
      </c>
      <c r="F17" s="88">
        <f>E17*B17*0.617*1.1-0.33</f>
        <v>618.64439999999991</v>
      </c>
      <c r="G17" s="221" t="s">
        <v>323</v>
      </c>
      <c r="H17" s="222"/>
      <c r="I17" s="40"/>
      <c r="J17" s="38"/>
      <c r="K17" s="38"/>
      <c r="L17" s="38"/>
    </row>
    <row r="18" spans="1:12" ht="15.75" x14ac:dyDescent="0.25">
      <c r="A18" s="85" t="s">
        <v>324</v>
      </c>
      <c r="B18" s="44">
        <v>7.2</v>
      </c>
      <c r="C18" s="88"/>
      <c r="D18" s="88"/>
      <c r="E18" s="88">
        <v>300</v>
      </c>
      <c r="F18" s="88">
        <f>E18*B18*0.963*1.1-1.19</f>
        <v>2286.8980000000001</v>
      </c>
      <c r="G18" s="221" t="s">
        <v>325</v>
      </c>
      <c r="H18" s="222"/>
      <c r="I18" s="40"/>
      <c r="J18" s="38"/>
      <c r="K18" s="38"/>
      <c r="L18" s="38"/>
    </row>
    <row r="19" spans="1:12" ht="15.75" x14ac:dyDescent="0.25">
      <c r="A19" s="225" t="s">
        <v>326</v>
      </c>
      <c r="B19" s="44">
        <v>3.1415000000000002</v>
      </c>
      <c r="C19" s="88"/>
      <c r="D19" s="88">
        <v>2</v>
      </c>
      <c r="E19" s="88">
        <v>4</v>
      </c>
      <c r="F19" s="88">
        <f>D19*B19*E19</f>
        <v>25.132000000000001</v>
      </c>
      <c r="G19" s="154"/>
      <c r="H19" s="39"/>
      <c r="I19" s="40"/>
      <c r="J19" s="38"/>
      <c r="K19" s="38"/>
      <c r="L19" s="38"/>
    </row>
    <row r="20" spans="1:12" ht="15.75" x14ac:dyDescent="0.25">
      <c r="A20" s="227"/>
      <c r="B20" s="44">
        <v>15</v>
      </c>
      <c r="C20" s="88">
        <v>3</v>
      </c>
      <c r="D20" s="88">
        <v>0.8</v>
      </c>
      <c r="E20" s="88">
        <v>2</v>
      </c>
      <c r="F20" s="88">
        <f>D20*B20*E20*C20</f>
        <v>72</v>
      </c>
      <c r="G20" s="154"/>
      <c r="H20" s="39"/>
      <c r="I20" s="40"/>
      <c r="J20" s="38"/>
      <c r="K20" s="38"/>
      <c r="L20" s="38"/>
    </row>
    <row r="21" spans="1:12" ht="15.75" x14ac:dyDescent="0.25">
      <c r="A21" s="88" t="s">
        <v>327</v>
      </c>
      <c r="B21" s="44"/>
      <c r="C21" s="88"/>
      <c r="D21" s="88"/>
      <c r="E21" s="88">
        <f>F19+F20</f>
        <v>97.132000000000005</v>
      </c>
      <c r="F21" s="88">
        <f>E21*2.5</f>
        <v>242.83</v>
      </c>
      <c r="G21" s="221" t="s">
        <v>328</v>
      </c>
      <c r="H21" s="228"/>
      <c r="I21" s="40"/>
      <c r="J21" s="38"/>
      <c r="K21" s="38"/>
      <c r="L21" s="38"/>
    </row>
    <row r="22" spans="1:12" ht="15.75" x14ac:dyDescent="0.25">
      <c r="A22" s="88" t="s">
        <v>329</v>
      </c>
      <c r="B22" s="44">
        <v>24</v>
      </c>
      <c r="C22" s="88"/>
      <c r="D22" s="88"/>
      <c r="E22" s="88">
        <f>F21</f>
        <v>242.83</v>
      </c>
      <c r="F22" s="88">
        <f>E22*B22</f>
        <v>5827.92</v>
      </c>
      <c r="G22" s="152" t="s">
        <v>330</v>
      </c>
      <c r="H22" s="152"/>
      <c r="I22" s="40"/>
      <c r="J22" s="38"/>
      <c r="K22" s="38"/>
      <c r="L22" s="38"/>
    </row>
    <row r="23" spans="1:12" ht="15.75" x14ac:dyDescent="0.25">
      <c r="A23" s="88" t="s">
        <v>331</v>
      </c>
      <c r="B23" s="44">
        <v>48</v>
      </c>
      <c r="C23" s="88"/>
      <c r="D23" s="88"/>
      <c r="E23" s="88">
        <f>F21</f>
        <v>242.83</v>
      </c>
      <c r="F23" s="88">
        <f>E23*B23</f>
        <v>11655.84</v>
      </c>
      <c r="G23" s="152" t="s">
        <v>332</v>
      </c>
      <c r="H23" s="152"/>
      <c r="I23" s="40"/>
      <c r="J23" s="38"/>
      <c r="K23" s="38"/>
      <c r="L23" s="38"/>
    </row>
    <row r="24" spans="1:12" ht="17.25" x14ac:dyDescent="0.25">
      <c r="A24" s="41"/>
      <c r="B24" s="41"/>
      <c r="C24" s="41"/>
      <c r="D24" s="41"/>
      <c r="E24" s="41"/>
      <c r="F24" s="41"/>
      <c r="G24" s="47"/>
      <c r="H24" s="41"/>
      <c r="I24" s="47"/>
      <c r="J24" s="47"/>
      <c r="K24" s="47"/>
      <c r="L24" s="47"/>
    </row>
    <row r="25" spans="1:12" ht="17.25" x14ac:dyDescent="0.25">
      <c r="A25" s="237" t="s">
        <v>26</v>
      </c>
      <c r="B25" s="237"/>
      <c r="C25" s="237"/>
      <c r="D25" s="41"/>
      <c r="E25" s="41"/>
      <c r="F25" s="41"/>
      <c r="G25" s="47"/>
      <c r="H25" s="41"/>
      <c r="I25" s="47"/>
      <c r="J25" s="47"/>
      <c r="K25" s="47"/>
      <c r="L25" s="47"/>
    </row>
    <row r="26" spans="1:12" ht="17.25" x14ac:dyDescent="0.25">
      <c r="A26" s="151"/>
      <c r="B26" s="151"/>
      <c r="C26" s="151"/>
      <c r="D26" s="41"/>
      <c r="E26" s="41"/>
      <c r="F26" s="41"/>
      <c r="G26" s="47"/>
      <c r="H26" s="41"/>
      <c r="I26" s="47"/>
      <c r="J26" s="47"/>
      <c r="K26" s="47"/>
      <c r="L26" s="47"/>
    </row>
    <row r="27" spans="1:12" ht="17.25" x14ac:dyDescent="0.25">
      <c r="A27" s="229" t="s">
        <v>333</v>
      </c>
      <c r="B27" s="230"/>
      <c r="C27" s="231"/>
      <c r="D27" s="39"/>
      <c r="E27" s="39"/>
      <c r="F27" s="40"/>
      <c r="G27" s="40"/>
      <c r="H27" s="40"/>
      <c r="I27" s="47"/>
      <c r="J27" s="47"/>
      <c r="K27" s="47"/>
      <c r="L27" s="47"/>
    </row>
    <row r="28" spans="1:12" ht="17.25" x14ac:dyDescent="0.25">
      <c r="A28" s="39"/>
      <c r="B28" s="39"/>
      <c r="C28" s="39"/>
      <c r="D28" s="39"/>
      <c r="E28" s="39"/>
      <c r="F28" s="39"/>
      <c r="G28" s="39"/>
      <c r="H28" s="39"/>
      <c r="I28" s="47"/>
      <c r="J28" s="47"/>
      <c r="K28" s="47"/>
      <c r="L28" s="47"/>
    </row>
    <row r="29" spans="1:12" ht="17.25" x14ac:dyDescent="0.25">
      <c r="A29" s="232" t="s">
        <v>7</v>
      </c>
      <c r="B29" s="86" t="s">
        <v>114</v>
      </c>
      <c r="C29" s="86" t="s">
        <v>115</v>
      </c>
      <c r="D29" s="86" t="s">
        <v>116</v>
      </c>
      <c r="E29" s="233" t="s">
        <v>117</v>
      </c>
      <c r="F29" s="235" t="s">
        <v>11</v>
      </c>
      <c r="G29" s="39"/>
      <c r="H29" s="39"/>
      <c r="I29" s="47"/>
      <c r="J29" s="47"/>
      <c r="K29" s="47"/>
      <c r="L29" s="47"/>
    </row>
    <row r="30" spans="1:12" ht="17.25" x14ac:dyDescent="0.25">
      <c r="A30" s="232"/>
      <c r="B30" s="87" t="s">
        <v>314</v>
      </c>
      <c r="C30" s="87" t="s">
        <v>314</v>
      </c>
      <c r="D30" s="87" t="s">
        <v>119</v>
      </c>
      <c r="E30" s="234"/>
      <c r="F30" s="236"/>
      <c r="G30" s="39"/>
      <c r="H30" s="39"/>
      <c r="I30" s="47"/>
      <c r="J30" s="47"/>
      <c r="K30" s="47"/>
      <c r="L30" s="47"/>
    </row>
    <row r="31" spans="1:12" ht="17.25" x14ac:dyDescent="0.25">
      <c r="A31" s="88" t="s">
        <v>334</v>
      </c>
      <c r="B31" s="44">
        <v>3.1415000000000002</v>
      </c>
      <c r="C31" s="88">
        <v>0.7</v>
      </c>
      <c r="D31" s="88">
        <v>4</v>
      </c>
      <c r="E31" s="88">
        <v>4</v>
      </c>
      <c r="F31" s="88">
        <f>B31*D31*E31*C31</f>
        <v>35.184800000000003</v>
      </c>
      <c r="G31" s="39"/>
      <c r="H31" s="39"/>
      <c r="I31" s="47"/>
      <c r="J31" s="47"/>
      <c r="K31" s="47"/>
      <c r="L31" s="47"/>
    </row>
    <row r="32" spans="1:12" ht="17.25" x14ac:dyDescent="0.25">
      <c r="A32" s="88" t="s">
        <v>335</v>
      </c>
      <c r="B32" s="44">
        <v>3.1415000000000002</v>
      </c>
      <c r="C32" s="88">
        <v>0.7</v>
      </c>
      <c r="D32" s="88">
        <v>4</v>
      </c>
      <c r="E32" s="88">
        <v>4</v>
      </c>
      <c r="F32" s="88">
        <f>B32*D32*E32</f>
        <v>50.264000000000003</v>
      </c>
      <c r="G32" s="39"/>
      <c r="H32" s="39"/>
      <c r="I32" s="47"/>
      <c r="J32" s="47"/>
      <c r="K32" s="47"/>
      <c r="L32" s="47"/>
    </row>
    <row r="33" spans="1:12" ht="17.25" x14ac:dyDescent="0.25">
      <c r="A33" s="88" t="s">
        <v>318</v>
      </c>
      <c r="B33" s="44">
        <v>9.4</v>
      </c>
      <c r="C33" s="88"/>
      <c r="D33" s="88"/>
      <c r="E33" s="88">
        <v>64</v>
      </c>
      <c r="F33" s="88">
        <f>(E33*B33*1.578)-0.3</f>
        <v>949.02480000000014</v>
      </c>
      <c r="G33" s="221" t="s">
        <v>319</v>
      </c>
      <c r="H33" s="222"/>
      <c r="I33" s="47"/>
      <c r="J33" s="47"/>
      <c r="K33" s="47"/>
      <c r="L33" s="47"/>
    </row>
    <row r="34" spans="1:12" ht="17.25" x14ac:dyDescent="0.25">
      <c r="A34" s="84" t="s">
        <v>336</v>
      </c>
      <c r="B34" s="44">
        <v>2.1</v>
      </c>
      <c r="C34" s="88"/>
      <c r="D34" s="88"/>
      <c r="E34" s="88">
        <v>352</v>
      </c>
      <c r="F34" s="88">
        <f>E34*B34*0.245</f>
        <v>181.10400000000001</v>
      </c>
      <c r="G34" s="221" t="s">
        <v>337</v>
      </c>
      <c r="H34" s="222"/>
      <c r="I34" s="47"/>
      <c r="J34" s="47"/>
      <c r="K34" s="47"/>
      <c r="L34" s="47"/>
    </row>
    <row r="35" spans="1:12" ht="17.25" x14ac:dyDescent="0.25">
      <c r="A35" s="88" t="s">
        <v>326</v>
      </c>
      <c r="B35" s="44">
        <f>3.1415*0.7*0.7/4</f>
        <v>0.38483375000000003</v>
      </c>
      <c r="C35" s="88"/>
      <c r="D35" s="88">
        <v>4</v>
      </c>
      <c r="E35" s="88">
        <v>4</v>
      </c>
      <c r="F35" s="88">
        <f>B35*D35*E35</f>
        <v>6.1573400000000005</v>
      </c>
      <c r="G35" s="154"/>
      <c r="H35" s="39"/>
      <c r="I35" s="47"/>
      <c r="J35" s="47"/>
      <c r="K35" s="47"/>
      <c r="L35" s="47"/>
    </row>
    <row r="36" spans="1:12" ht="17.25" x14ac:dyDescent="0.25">
      <c r="A36" s="88" t="s">
        <v>327</v>
      </c>
      <c r="B36" s="44"/>
      <c r="C36" s="88"/>
      <c r="D36" s="88"/>
      <c r="E36" s="88">
        <f>F35</f>
        <v>6.1573400000000005</v>
      </c>
      <c r="F36" s="88">
        <f>E36*2.5</f>
        <v>15.393350000000002</v>
      </c>
      <c r="G36" s="221" t="s">
        <v>328</v>
      </c>
      <c r="H36" s="228"/>
      <c r="I36" s="47"/>
      <c r="J36" s="47"/>
      <c r="K36" s="47"/>
      <c r="L36" s="47"/>
    </row>
    <row r="37" spans="1:12" ht="17.25" x14ac:dyDescent="0.25">
      <c r="A37" s="88" t="s">
        <v>329</v>
      </c>
      <c r="B37" s="44">
        <v>24</v>
      </c>
      <c r="C37" s="88"/>
      <c r="D37" s="88"/>
      <c r="E37" s="88">
        <f>F36</f>
        <v>15.393350000000002</v>
      </c>
      <c r="F37" s="88">
        <f>E37*B37</f>
        <v>369.44040000000007</v>
      </c>
      <c r="G37" s="152" t="s">
        <v>330</v>
      </c>
      <c r="H37" s="152"/>
      <c r="I37" s="47"/>
      <c r="J37" s="47"/>
      <c r="K37" s="47"/>
      <c r="L37" s="47"/>
    </row>
    <row r="38" spans="1:12" ht="17.25" x14ac:dyDescent="0.25">
      <c r="A38" s="88" t="s">
        <v>331</v>
      </c>
      <c r="B38" s="44">
        <v>48</v>
      </c>
      <c r="C38" s="88"/>
      <c r="D38" s="88"/>
      <c r="E38" s="88">
        <f>F36</f>
        <v>15.393350000000002</v>
      </c>
      <c r="F38" s="88">
        <f>E38*B38</f>
        <v>738.88080000000014</v>
      </c>
      <c r="G38" s="152" t="s">
        <v>332</v>
      </c>
      <c r="H38" s="152"/>
      <c r="I38" s="47"/>
      <c r="J38" s="47"/>
      <c r="K38" s="47"/>
      <c r="L38" s="47"/>
    </row>
    <row r="39" spans="1:12" ht="17.25" x14ac:dyDescent="0.25">
      <c r="A39" s="88" t="s">
        <v>118</v>
      </c>
      <c r="B39" s="44">
        <v>7</v>
      </c>
      <c r="C39" s="88">
        <v>0.3</v>
      </c>
      <c r="D39" s="88">
        <v>6</v>
      </c>
      <c r="E39" s="88">
        <v>4</v>
      </c>
      <c r="F39" s="88">
        <f>B39*C39*D39*E39</f>
        <v>50.400000000000006</v>
      </c>
      <c r="G39" s="39"/>
      <c r="H39" s="39"/>
      <c r="I39" s="47"/>
      <c r="J39" s="47"/>
      <c r="K39" s="47"/>
      <c r="L39" s="47"/>
    </row>
    <row r="40" spans="1:12" ht="17.25" x14ac:dyDescent="0.25">
      <c r="A40" s="151"/>
      <c r="B40" s="151"/>
      <c r="C40" s="151"/>
      <c r="D40" s="41"/>
      <c r="E40" s="41"/>
      <c r="F40" s="41"/>
      <c r="G40" s="47"/>
      <c r="H40" s="41"/>
      <c r="I40" s="47"/>
      <c r="J40" s="47"/>
      <c r="K40" s="47"/>
      <c r="L40" s="47"/>
    </row>
    <row r="41" spans="1:12" ht="17.25" x14ac:dyDescent="0.25">
      <c r="A41" s="237" t="s">
        <v>293</v>
      </c>
      <c r="B41" s="237"/>
      <c r="C41" s="237"/>
      <c r="D41" s="39"/>
      <c r="E41" s="39"/>
      <c r="F41" s="40"/>
      <c r="G41" s="40"/>
      <c r="H41" s="40"/>
      <c r="I41" s="47"/>
      <c r="J41" s="47"/>
      <c r="K41" s="47"/>
      <c r="L41" s="47"/>
    </row>
    <row r="42" spans="1:12" ht="17.25" x14ac:dyDescent="0.25">
      <c r="A42" s="39"/>
      <c r="B42" s="39"/>
      <c r="C42" s="39"/>
      <c r="D42" s="39"/>
      <c r="E42" s="39"/>
      <c r="F42" s="39"/>
      <c r="G42" s="39"/>
      <c r="H42" s="39"/>
      <c r="I42" s="47"/>
      <c r="J42" s="47"/>
      <c r="K42" s="47"/>
      <c r="L42" s="47"/>
    </row>
    <row r="43" spans="1:12" ht="17.25" x14ac:dyDescent="0.25">
      <c r="A43" s="232" t="s">
        <v>7</v>
      </c>
      <c r="B43" s="86" t="s">
        <v>114</v>
      </c>
      <c r="C43" s="86" t="s">
        <v>115</v>
      </c>
      <c r="D43" s="86" t="s">
        <v>116</v>
      </c>
      <c r="E43" s="233" t="s">
        <v>117</v>
      </c>
      <c r="F43" s="235" t="s">
        <v>11</v>
      </c>
      <c r="G43" s="39"/>
      <c r="H43" s="39"/>
      <c r="I43" s="47"/>
      <c r="J43" s="47"/>
      <c r="K43" s="47"/>
      <c r="L43" s="47"/>
    </row>
    <row r="44" spans="1:12" ht="17.25" x14ac:dyDescent="0.25">
      <c r="A44" s="232"/>
      <c r="B44" s="87" t="s">
        <v>314</v>
      </c>
      <c r="C44" s="87" t="s">
        <v>314</v>
      </c>
      <c r="D44" s="87" t="s">
        <v>119</v>
      </c>
      <c r="E44" s="234"/>
      <c r="F44" s="236"/>
      <c r="G44" s="39"/>
      <c r="H44" s="39"/>
      <c r="I44" s="47"/>
      <c r="J44" s="47"/>
      <c r="K44" s="47"/>
      <c r="L44" s="47"/>
    </row>
    <row r="45" spans="1:12" ht="17.25" x14ac:dyDescent="0.25">
      <c r="A45" s="225" t="s">
        <v>334</v>
      </c>
      <c r="B45" s="44">
        <v>7</v>
      </c>
      <c r="C45" s="88">
        <v>0.7</v>
      </c>
      <c r="D45" s="88"/>
      <c r="E45" s="88">
        <v>4</v>
      </c>
      <c r="F45" s="88">
        <f>B45*E45*C45</f>
        <v>19.599999999999998</v>
      </c>
      <c r="G45" s="39"/>
      <c r="H45" s="39"/>
      <c r="I45" s="47"/>
      <c r="J45" s="47"/>
      <c r="K45" s="47"/>
      <c r="L45" s="47"/>
    </row>
    <row r="46" spans="1:12" ht="17.25" x14ac:dyDescent="0.25">
      <c r="A46" s="226"/>
      <c r="B46" s="44">
        <v>0.7</v>
      </c>
      <c r="C46" s="88">
        <v>0.7</v>
      </c>
      <c r="D46" s="88"/>
      <c r="E46" s="88">
        <v>4</v>
      </c>
      <c r="F46" s="88">
        <f>B46*E46*C46</f>
        <v>1.9599999999999997</v>
      </c>
      <c r="G46" s="39"/>
      <c r="H46" s="39"/>
      <c r="I46" s="47"/>
      <c r="J46" s="47"/>
      <c r="K46" s="47"/>
      <c r="L46" s="47"/>
    </row>
    <row r="47" spans="1:12" ht="17.25" x14ac:dyDescent="0.25">
      <c r="A47" s="226"/>
      <c r="B47" s="44">
        <v>7</v>
      </c>
      <c r="C47" s="88">
        <v>1.3</v>
      </c>
      <c r="D47" s="88"/>
      <c r="E47" s="88">
        <v>4</v>
      </c>
      <c r="F47" s="88">
        <f>B47*E47*C47</f>
        <v>36.4</v>
      </c>
      <c r="G47" s="39"/>
      <c r="H47" s="39"/>
      <c r="I47" s="47"/>
      <c r="J47" s="47"/>
      <c r="K47" s="47"/>
      <c r="L47" s="47"/>
    </row>
    <row r="48" spans="1:12" ht="17.25" x14ac:dyDescent="0.25">
      <c r="A48" s="227"/>
      <c r="B48" s="44">
        <v>1.3</v>
      </c>
      <c r="C48" s="88">
        <v>0.7</v>
      </c>
      <c r="D48" s="88"/>
      <c r="E48" s="88">
        <v>4</v>
      </c>
      <c r="F48" s="88">
        <f>B48*E48*C48</f>
        <v>3.6399999999999997</v>
      </c>
      <c r="G48" s="39"/>
      <c r="H48" s="39"/>
      <c r="I48" s="47"/>
      <c r="J48" s="47"/>
      <c r="K48" s="47"/>
      <c r="L48" s="47"/>
    </row>
    <row r="49" spans="1:12" ht="17.25" x14ac:dyDescent="0.25">
      <c r="A49" s="88" t="s">
        <v>335</v>
      </c>
      <c r="B49" s="44"/>
      <c r="C49" s="88"/>
      <c r="D49" s="88"/>
      <c r="E49" s="88"/>
      <c r="F49" s="88">
        <f>F45+F46+F47+F48</f>
        <v>61.599999999999994</v>
      </c>
      <c r="G49" s="39"/>
      <c r="H49" s="39"/>
      <c r="I49" s="47"/>
      <c r="J49" s="47"/>
      <c r="K49" s="47"/>
      <c r="L49" s="47"/>
    </row>
    <row r="50" spans="1:12" ht="17.25" x14ac:dyDescent="0.25">
      <c r="A50" s="225" t="s">
        <v>318</v>
      </c>
      <c r="B50" s="44">
        <v>7.2</v>
      </c>
      <c r="C50" s="88"/>
      <c r="D50" s="88"/>
      <c r="E50" s="88">
        <v>12</v>
      </c>
      <c r="F50" s="88">
        <f>(E50*B50*1.578)-0.07</f>
        <v>136.26920000000001</v>
      </c>
      <c r="G50" s="221" t="s">
        <v>319</v>
      </c>
      <c r="H50" s="222"/>
      <c r="I50" s="47"/>
      <c r="J50" s="47"/>
      <c r="K50" s="47"/>
      <c r="L50" s="47"/>
    </row>
    <row r="51" spans="1:12" ht="17.25" x14ac:dyDescent="0.25">
      <c r="A51" s="227"/>
      <c r="B51" s="44">
        <v>7.5</v>
      </c>
      <c r="C51" s="88"/>
      <c r="D51" s="88"/>
      <c r="E51" s="88">
        <v>8</v>
      </c>
      <c r="F51" s="88">
        <f>(E51*B51*1.578)</f>
        <v>94.68</v>
      </c>
      <c r="G51" s="155"/>
      <c r="H51" s="153"/>
      <c r="I51" s="47"/>
      <c r="J51" s="47"/>
      <c r="K51" s="47"/>
      <c r="L51" s="47"/>
    </row>
    <row r="52" spans="1:12" ht="17.25" x14ac:dyDescent="0.25">
      <c r="A52" s="156" t="s">
        <v>338</v>
      </c>
      <c r="B52" s="44">
        <v>7.5</v>
      </c>
      <c r="C52" s="88"/>
      <c r="D52" s="88"/>
      <c r="E52" s="88">
        <v>20</v>
      </c>
      <c r="F52" s="88">
        <f>E52*B52*2.466</f>
        <v>369.90000000000003</v>
      </c>
      <c r="G52" s="221" t="s">
        <v>339</v>
      </c>
      <c r="H52" s="222"/>
      <c r="I52" s="47"/>
      <c r="J52" s="47"/>
      <c r="K52" s="47"/>
      <c r="L52" s="47"/>
    </row>
    <row r="53" spans="1:12" ht="17.25" x14ac:dyDescent="0.25">
      <c r="A53" s="84" t="s">
        <v>336</v>
      </c>
      <c r="B53" s="44">
        <v>525.6</v>
      </c>
      <c r="C53" s="88"/>
      <c r="D53" s="88"/>
      <c r="E53" s="88">
        <v>2</v>
      </c>
      <c r="F53" s="88">
        <f>E53*B53*0.245</f>
        <v>257.54399999999998</v>
      </c>
      <c r="G53" s="221" t="s">
        <v>337</v>
      </c>
      <c r="H53" s="222"/>
      <c r="I53" s="47"/>
      <c r="J53" s="47"/>
      <c r="K53" s="47"/>
      <c r="L53" s="47"/>
    </row>
    <row r="54" spans="1:12" ht="17.25" x14ac:dyDescent="0.25">
      <c r="A54" s="88" t="s">
        <v>326</v>
      </c>
      <c r="B54" s="44">
        <v>7</v>
      </c>
      <c r="C54" s="88">
        <v>0.7</v>
      </c>
      <c r="D54" s="88">
        <v>0.7</v>
      </c>
      <c r="E54" s="88">
        <v>2</v>
      </c>
      <c r="F54" s="88">
        <f>B54*D54*E54*C54</f>
        <v>6.8599999999999985</v>
      </c>
      <c r="G54" s="154"/>
      <c r="H54" s="39"/>
      <c r="I54" s="47"/>
      <c r="J54" s="47"/>
      <c r="K54" s="47"/>
      <c r="L54" s="47"/>
    </row>
    <row r="55" spans="1:12" ht="17.25" x14ac:dyDescent="0.25">
      <c r="A55" s="88"/>
      <c r="B55" s="44">
        <v>7</v>
      </c>
      <c r="C55" s="88">
        <v>2</v>
      </c>
      <c r="D55" s="88">
        <v>0.7</v>
      </c>
      <c r="E55" s="88">
        <v>2</v>
      </c>
      <c r="F55" s="88">
        <f>B55*D55*E55*C55</f>
        <v>19.599999999999998</v>
      </c>
      <c r="G55" s="154"/>
      <c r="H55" s="39"/>
      <c r="I55" s="47"/>
      <c r="J55" s="47"/>
      <c r="K55" s="47"/>
      <c r="L55" s="47"/>
    </row>
    <row r="56" spans="1:12" ht="17.25" x14ac:dyDescent="0.25">
      <c r="A56" s="88" t="s">
        <v>327</v>
      </c>
      <c r="B56" s="44"/>
      <c r="C56" s="88"/>
      <c r="D56" s="88"/>
      <c r="E56" s="88">
        <f>F54+F55</f>
        <v>26.459999999999997</v>
      </c>
      <c r="F56" s="88">
        <f>E56*2.5</f>
        <v>66.149999999999991</v>
      </c>
      <c r="G56" s="221" t="s">
        <v>328</v>
      </c>
      <c r="H56" s="228"/>
      <c r="I56" s="47"/>
      <c r="J56" s="47"/>
      <c r="K56" s="47"/>
      <c r="L56" s="47"/>
    </row>
    <row r="57" spans="1:12" ht="17.25" x14ac:dyDescent="0.25">
      <c r="A57" s="88" t="s">
        <v>329</v>
      </c>
      <c r="B57" s="44">
        <v>24</v>
      </c>
      <c r="C57" s="88"/>
      <c r="D57" s="88"/>
      <c r="E57" s="88">
        <f>F56</f>
        <v>66.149999999999991</v>
      </c>
      <c r="F57" s="88">
        <f>E57*B57</f>
        <v>1587.6</v>
      </c>
      <c r="G57" s="152" t="s">
        <v>330</v>
      </c>
      <c r="H57" s="152"/>
      <c r="I57" s="47"/>
      <c r="J57" s="47"/>
      <c r="K57" s="47"/>
      <c r="L57" s="47"/>
    </row>
    <row r="58" spans="1:12" ht="17.25" x14ac:dyDescent="0.25">
      <c r="A58" s="88" t="s">
        <v>331</v>
      </c>
      <c r="B58" s="44">
        <v>48</v>
      </c>
      <c r="C58" s="88"/>
      <c r="D58" s="88"/>
      <c r="E58" s="88">
        <f>F56</f>
        <v>66.149999999999991</v>
      </c>
      <c r="F58" s="88">
        <f>E58*B58</f>
        <v>3175.2</v>
      </c>
      <c r="G58" s="152" t="s">
        <v>332</v>
      </c>
      <c r="H58" s="152"/>
      <c r="I58" s="47"/>
      <c r="J58" s="47"/>
      <c r="K58" s="47"/>
      <c r="L58" s="47"/>
    </row>
    <row r="59" spans="1:12" ht="17.25" x14ac:dyDescent="0.25">
      <c r="A59" s="88" t="s">
        <v>118</v>
      </c>
      <c r="B59" s="44">
        <v>7</v>
      </c>
      <c r="C59" s="88">
        <v>0.3</v>
      </c>
      <c r="D59" s="88">
        <v>6</v>
      </c>
      <c r="E59" s="88">
        <v>4</v>
      </c>
      <c r="F59" s="88">
        <f>B59*C59*D59*E59</f>
        <v>50.400000000000006</v>
      </c>
      <c r="G59" s="39"/>
      <c r="H59" s="39"/>
      <c r="I59" s="47"/>
      <c r="J59" s="47"/>
      <c r="K59" s="47"/>
      <c r="L59" s="47"/>
    </row>
    <row r="60" spans="1:12" ht="17.25" x14ac:dyDescent="0.25">
      <c r="A60" s="157"/>
      <c r="B60" s="158"/>
      <c r="C60" s="157"/>
      <c r="D60" s="157"/>
      <c r="E60" s="157"/>
      <c r="F60" s="157"/>
      <c r="G60" s="39"/>
      <c r="H60" s="39"/>
      <c r="I60" s="47"/>
      <c r="J60" s="47"/>
      <c r="K60" s="47"/>
      <c r="L60" s="47"/>
    </row>
    <row r="61" spans="1:12" ht="15.75" x14ac:dyDescent="0.25">
      <c r="A61" s="237" t="s">
        <v>340</v>
      </c>
      <c r="B61" s="237"/>
      <c r="C61" s="237"/>
      <c r="D61" s="39"/>
      <c r="E61" s="39"/>
      <c r="F61" s="40"/>
      <c r="G61" s="40"/>
      <c r="H61" s="40"/>
      <c r="I61" s="39"/>
      <c r="J61" s="39"/>
      <c r="K61" s="39"/>
      <c r="L61" s="40"/>
    </row>
    <row r="62" spans="1:12" ht="15.75" x14ac:dyDescent="0.25">
      <c r="A62" s="39"/>
      <c r="B62" s="39"/>
      <c r="C62" s="39"/>
      <c r="D62" s="39"/>
      <c r="E62" s="39"/>
      <c r="F62" s="39"/>
      <c r="G62" s="39"/>
      <c r="H62" s="39"/>
      <c r="I62" s="39"/>
      <c r="J62" s="40"/>
      <c r="K62" s="39"/>
      <c r="L62" s="40"/>
    </row>
    <row r="63" spans="1:12" ht="15.75" x14ac:dyDescent="0.25">
      <c r="A63" s="232" t="s">
        <v>7</v>
      </c>
      <c r="B63" s="86" t="s">
        <v>114</v>
      </c>
      <c r="C63" s="86" t="s">
        <v>115</v>
      </c>
      <c r="D63" s="86" t="s">
        <v>116</v>
      </c>
      <c r="E63" s="233" t="s">
        <v>117</v>
      </c>
      <c r="F63" s="235" t="s">
        <v>11</v>
      </c>
      <c r="G63" s="39"/>
      <c r="H63" s="39"/>
      <c r="I63" s="39"/>
      <c r="J63" s="40"/>
      <c r="K63" s="39"/>
      <c r="L63" s="40"/>
    </row>
    <row r="64" spans="1:12" ht="15.75" x14ac:dyDescent="0.25">
      <c r="A64" s="232"/>
      <c r="B64" s="87" t="s">
        <v>314</v>
      </c>
      <c r="C64" s="87" t="s">
        <v>314</v>
      </c>
      <c r="D64" s="87" t="s">
        <v>119</v>
      </c>
      <c r="E64" s="234"/>
      <c r="F64" s="236"/>
      <c r="G64" s="39"/>
      <c r="H64" s="39"/>
      <c r="I64" s="39"/>
      <c r="J64" s="40"/>
      <c r="K64" s="39"/>
      <c r="L64" s="40"/>
    </row>
    <row r="65" spans="1:12" ht="15.75" x14ac:dyDescent="0.25">
      <c r="A65" s="88" t="s">
        <v>334</v>
      </c>
      <c r="B65" s="44">
        <v>15.3</v>
      </c>
      <c r="C65" s="88"/>
      <c r="D65" s="88">
        <v>6</v>
      </c>
      <c r="E65" s="88">
        <v>4</v>
      </c>
      <c r="F65" s="88">
        <f>B65*D65*E65</f>
        <v>367.20000000000005</v>
      </c>
      <c r="G65" s="39"/>
      <c r="H65" s="39"/>
      <c r="I65" s="39"/>
      <c r="J65" s="40"/>
      <c r="K65" s="39"/>
      <c r="L65" s="40"/>
    </row>
    <row r="66" spans="1:12" ht="15.75" x14ac:dyDescent="0.25">
      <c r="A66" s="88" t="s">
        <v>335</v>
      </c>
      <c r="B66" s="44">
        <v>15.3</v>
      </c>
      <c r="C66" s="88"/>
      <c r="D66" s="88">
        <v>6</v>
      </c>
      <c r="E66" s="88">
        <v>4</v>
      </c>
      <c r="F66" s="88">
        <f>B66*D66*E66</f>
        <v>367.20000000000005</v>
      </c>
      <c r="G66" s="39"/>
      <c r="H66" s="39"/>
      <c r="I66" s="39"/>
      <c r="J66" s="40"/>
      <c r="K66" s="39"/>
      <c r="L66" s="40"/>
    </row>
    <row r="67" spans="1:12" ht="15.75" x14ac:dyDescent="0.25">
      <c r="A67" s="88" t="s">
        <v>322</v>
      </c>
      <c r="B67" s="44">
        <v>8</v>
      </c>
      <c r="C67" s="88"/>
      <c r="D67" s="88"/>
      <c r="E67" s="88">
        <v>156</v>
      </c>
      <c r="F67" s="88">
        <f>(E67*B67*0.617)-0.42</f>
        <v>769.596</v>
      </c>
      <c r="G67" s="221" t="s">
        <v>323</v>
      </c>
      <c r="H67" s="222"/>
      <c r="I67" s="39"/>
      <c r="J67" s="40"/>
      <c r="K67" s="39"/>
      <c r="L67" s="40"/>
    </row>
    <row r="68" spans="1:12" ht="15.75" x14ac:dyDescent="0.25">
      <c r="A68" s="84" t="s">
        <v>320</v>
      </c>
      <c r="B68" s="44">
        <v>15</v>
      </c>
      <c r="C68" s="88"/>
      <c r="D68" s="88"/>
      <c r="E68" s="88">
        <v>248</v>
      </c>
      <c r="F68" s="88">
        <f>E68*B68*0.395</f>
        <v>1469.4</v>
      </c>
      <c r="G68" s="221" t="s">
        <v>321</v>
      </c>
      <c r="H68" s="222"/>
      <c r="I68" s="39"/>
      <c r="J68" s="40"/>
      <c r="K68" s="39"/>
      <c r="L68" s="40"/>
    </row>
    <row r="69" spans="1:12" ht="15.75" x14ac:dyDescent="0.25">
      <c r="A69" s="84" t="s">
        <v>324</v>
      </c>
      <c r="B69" s="44">
        <v>20.05</v>
      </c>
      <c r="C69" s="88"/>
      <c r="D69" s="88"/>
      <c r="E69" s="88">
        <v>104</v>
      </c>
      <c r="F69" s="88">
        <f>(E69*B69*0.963*1.1)-(1.14)</f>
        <v>2207.7123600000004</v>
      </c>
      <c r="G69" s="221" t="s">
        <v>325</v>
      </c>
      <c r="H69" s="222"/>
      <c r="I69" s="39"/>
      <c r="J69" s="40"/>
      <c r="K69" s="39"/>
      <c r="L69" s="40"/>
    </row>
    <row r="70" spans="1:12" ht="15.75" x14ac:dyDescent="0.25">
      <c r="A70" s="88" t="s">
        <v>326</v>
      </c>
      <c r="B70" s="44">
        <v>15</v>
      </c>
      <c r="C70" s="88">
        <v>0.55000000000000004</v>
      </c>
      <c r="D70" s="88">
        <v>6</v>
      </c>
      <c r="E70" s="88">
        <v>2</v>
      </c>
      <c r="F70" s="88">
        <f>B70*C70*D70*E70</f>
        <v>99</v>
      </c>
      <c r="G70" s="154"/>
      <c r="H70" s="39"/>
      <c r="I70" s="39"/>
      <c r="J70" s="40"/>
      <c r="K70" s="39"/>
      <c r="L70" s="40"/>
    </row>
    <row r="71" spans="1:12" ht="15.75" x14ac:dyDescent="0.25">
      <c r="A71" s="88" t="s">
        <v>327</v>
      </c>
      <c r="B71" s="44"/>
      <c r="C71" s="88"/>
      <c r="D71" s="88"/>
      <c r="E71" s="88">
        <f>F70</f>
        <v>99</v>
      </c>
      <c r="F71" s="88">
        <f>E71*2.5</f>
        <v>247.5</v>
      </c>
      <c r="G71" s="221" t="s">
        <v>328</v>
      </c>
      <c r="H71" s="228"/>
      <c r="I71" s="39"/>
      <c r="J71" s="40"/>
      <c r="K71" s="39"/>
      <c r="L71" s="40"/>
    </row>
    <row r="72" spans="1:12" ht="15.75" x14ac:dyDescent="0.25">
      <c r="A72" s="88" t="s">
        <v>329</v>
      </c>
      <c r="B72" s="44">
        <v>24</v>
      </c>
      <c r="C72" s="88"/>
      <c r="D72" s="88"/>
      <c r="E72" s="88">
        <f>F71</f>
        <v>247.5</v>
      </c>
      <c r="F72" s="88">
        <f>E72*B72</f>
        <v>5940</v>
      </c>
      <c r="G72" s="152" t="s">
        <v>330</v>
      </c>
      <c r="H72" s="152"/>
      <c r="I72" s="39"/>
      <c r="J72" s="40"/>
      <c r="K72" s="39"/>
      <c r="L72" s="40"/>
    </row>
    <row r="73" spans="1:12" ht="15.75" x14ac:dyDescent="0.25">
      <c r="A73" s="88" t="s">
        <v>331</v>
      </c>
      <c r="B73" s="44">
        <v>48</v>
      </c>
      <c r="C73" s="88"/>
      <c r="D73" s="88"/>
      <c r="E73" s="88">
        <f>F71</f>
        <v>247.5</v>
      </c>
      <c r="F73" s="88">
        <f>E73*B73</f>
        <v>11880</v>
      </c>
      <c r="G73" s="152" t="s">
        <v>332</v>
      </c>
      <c r="H73" s="152"/>
      <c r="I73" s="39"/>
      <c r="J73" s="40"/>
      <c r="K73" s="39"/>
      <c r="L73" s="40"/>
    </row>
    <row r="74" spans="1:12" ht="15.75" x14ac:dyDescent="0.25">
      <c r="A74" s="88" t="s">
        <v>118</v>
      </c>
      <c r="B74" s="44">
        <v>7</v>
      </c>
      <c r="C74" s="88">
        <v>0.3</v>
      </c>
      <c r="D74" s="88">
        <v>6</v>
      </c>
      <c r="E74" s="88">
        <v>4</v>
      </c>
      <c r="F74" s="88">
        <f>B74*C74*D74*E74</f>
        <v>50.400000000000006</v>
      </c>
      <c r="G74" s="39"/>
      <c r="H74" s="39"/>
      <c r="I74" s="39"/>
      <c r="J74" s="40"/>
      <c r="K74" s="39"/>
      <c r="L74" s="40"/>
    </row>
    <row r="75" spans="1:12" ht="15.75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40"/>
      <c r="K75" s="39"/>
      <c r="L75" s="40"/>
    </row>
    <row r="76" spans="1:12" ht="17.25" x14ac:dyDescent="0.25">
      <c r="A76" s="229" t="s">
        <v>39</v>
      </c>
      <c r="B76" s="230"/>
      <c r="C76" s="231"/>
      <c r="D76" s="41"/>
      <c r="E76" s="41"/>
      <c r="F76" s="41"/>
      <c r="G76" s="47"/>
      <c r="H76" s="42"/>
      <c r="I76" s="41"/>
      <c r="J76" s="42"/>
      <c r="K76" s="46"/>
      <c r="L76" s="43"/>
    </row>
    <row r="77" spans="1:12" ht="15.75" x14ac:dyDescent="0.25">
      <c r="A77" s="40"/>
      <c r="B77" s="40"/>
      <c r="C77" s="40"/>
      <c r="D77" s="40"/>
      <c r="E77" s="40"/>
      <c r="F77" s="40"/>
      <c r="G77" s="40"/>
      <c r="H77" s="42"/>
      <c r="I77" s="40"/>
      <c r="J77" s="40"/>
      <c r="K77" s="46"/>
      <c r="L77" s="43"/>
    </row>
    <row r="78" spans="1:12" ht="15.75" x14ac:dyDescent="0.25">
      <c r="A78" s="229" t="s">
        <v>341</v>
      </c>
      <c r="B78" s="230"/>
      <c r="C78" s="231"/>
      <c r="D78" s="41"/>
      <c r="E78" s="39"/>
      <c r="F78" s="42"/>
      <c r="G78" s="42"/>
      <c r="H78" s="42"/>
      <c r="I78" s="39"/>
      <c r="J78" s="41"/>
      <c r="K78" s="41"/>
      <c r="L78" s="41"/>
    </row>
    <row r="79" spans="1:12" ht="15.75" x14ac:dyDescent="0.25">
      <c r="A79" s="151"/>
      <c r="B79" s="151"/>
      <c r="C79" s="151"/>
      <c r="D79" s="41"/>
      <c r="E79" s="39"/>
      <c r="F79" s="42"/>
      <c r="G79" s="42"/>
      <c r="H79" s="42"/>
      <c r="I79" s="39"/>
      <c r="J79" s="41"/>
      <c r="K79" s="41"/>
      <c r="L79" s="41"/>
    </row>
    <row r="80" spans="1:12" ht="15.75" x14ac:dyDescent="0.25">
      <c r="A80" s="232" t="s">
        <v>7</v>
      </c>
      <c r="B80" s="86" t="s">
        <v>114</v>
      </c>
      <c r="C80" s="86" t="s">
        <v>115</v>
      </c>
      <c r="D80" s="86" t="s">
        <v>116</v>
      </c>
      <c r="E80" s="233" t="s">
        <v>117</v>
      </c>
      <c r="F80" s="235" t="s">
        <v>11</v>
      </c>
      <c r="G80" s="42"/>
      <c r="H80" s="42"/>
      <c r="I80" s="39"/>
      <c r="J80" s="41"/>
      <c r="K80" s="41"/>
      <c r="L80" s="41"/>
    </row>
    <row r="81" spans="1:12" ht="15.75" x14ac:dyDescent="0.25">
      <c r="A81" s="232"/>
      <c r="B81" s="87" t="s">
        <v>314</v>
      </c>
      <c r="C81" s="87" t="s">
        <v>314</v>
      </c>
      <c r="D81" s="87" t="s">
        <v>119</v>
      </c>
      <c r="E81" s="234"/>
      <c r="F81" s="236"/>
      <c r="G81" s="42"/>
      <c r="H81" s="42"/>
      <c r="I81" s="39"/>
      <c r="J81" s="41"/>
      <c r="K81" s="41"/>
      <c r="L81" s="41"/>
    </row>
    <row r="82" spans="1:12" ht="15.75" x14ac:dyDescent="0.25">
      <c r="A82" s="88" t="s">
        <v>342</v>
      </c>
      <c r="B82" s="44">
        <v>12</v>
      </c>
      <c r="C82" s="88"/>
      <c r="D82" s="88"/>
      <c r="E82" s="88">
        <v>15</v>
      </c>
      <c r="F82" s="88">
        <f>B82*E82</f>
        <v>180</v>
      </c>
      <c r="G82" s="39"/>
      <c r="H82" s="39"/>
      <c r="I82" s="39"/>
      <c r="J82" s="41"/>
      <c r="K82" s="41"/>
      <c r="L82" s="41"/>
    </row>
    <row r="83" spans="1:12" ht="17.25" x14ac:dyDescent="0.25">
      <c r="A83" s="39"/>
      <c r="B83" s="39"/>
      <c r="C83" s="41"/>
      <c r="D83" s="41"/>
      <c r="E83" s="47"/>
      <c r="F83" s="41"/>
      <c r="G83" s="41"/>
      <c r="H83" s="41"/>
      <c r="I83" s="41"/>
      <c r="J83" s="41"/>
      <c r="K83" s="40"/>
      <c r="L83" s="43"/>
    </row>
    <row r="84" spans="1:12" ht="15.75" x14ac:dyDescent="0.25">
      <c r="A84" s="229" t="s">
        <v>343</v>
      </c>
      <c r="B84" s="230"/>
      <c r="C84" s="231"/>
      <c r="D84" s="41"/>
      <c r="E84" s="41"/>
      <c r="F84" s="42"/>
      <c r="G84" s="42"/>
      <c r="H84" s="42"/>
      <c r="I84" s="41"/>
      <c r="J84" s="40"/>
      <c r="K84" s="41"/>
      <c r="L84" s="40"/>
    </row>
    <row r="85" spans="1:12" ht="15.75" x14ac:dyDescent="0.25">
      <c r="A85" s="41"/>
      <c r="B85" s="41"/>
      <c r="C85" s="41"/>
      <c r="D85" s="41"/>
      <c r="E85" s="41"/>
      <c r="F85" s="41"/>
      <c r="G85" s="39"/>
      <c r="H85" s="41"/>
      <c r="I85" s="41"/>
      <c r="J85" s="40"/>
      <c r="K85" s="40"/>
      <c r="L85" s="40"/>
    </row>
    <row r="86" spans="1:12" ht="15.75" x14ac:dyDescent="0.25">
      <c r="A86" s="232" t="s">
        <v>7</v>
      </c>
      <c r="B86" s="86" t="s">
        <v>114</v>
      </c>
      <c r="C86" s="86" t="s">
        <v>115</v>
      </c>
      <c r="D86" s="86" t="s">
        <v>116</v>
      </c>
      <c r="E86" s="233" t="s">
        <v>117</v>
      </c>
      <c r="F86" s="235" t="s">
        <v>11</v>
      </c>
      <c r="G86" s="159"/>
      <c r="H86" s="159"/>
      <c r="I86" s="159"/>
      <c r="J86" s="40"/>
      <c r="K86" s="40"/>
      <c r="L86" s="40"/>
    </row>
    <row r="87" spans="1:12" ht="15.75" x14ac:dyDescent="0.25">
      <c r="A87" s="232"/>
      <c r="B87" s="87" t="s">
        <v>314</v>
      </c>
      <c r="C87" s="87" t="s">
        <v>314</v>
      </c>
      <c r="D87" s="87" t="s">
        <v>119</v>
      </c>
      <c r="E87" s="234"/>
      <c r="F87" s="236"/>
      <c r="G87" s="157"/>
      <c r="H87" s="159"/>
      <c r="I87" s="159"/>
      <c r="J87" s="40"/>
      <c r="K87" s="40"/>
      <c r="L87" s="40"/>
    </row>
    <row r="88" spans="1:12" ht="15.75" x14ac:dyDescent="0.25">
      <c r="A88" s="88" t="s">
        <v>344</v>
      </c>
      <c r="B88" s="44">
        <v>36</v>
      </c>
      <c r="C88" s="88">
        <v>7</v>
      </c>
      <c r="D88" s="88"/>
      <c r="E88" s="88">
        <v>1</v>
      </c>
      <c r="F88" s="88">
        <f>B88*E88*C88</f>
        <v>252</v>
      </c>
      <c r="G88" s="157"/>
      <c r="H88" s="157"/>
      <c r="I88" s="157"/>
      <c r="J88" s="40"/>
      <c r="K88" s="40"/>
      <c r="L88" s="40"/>
    </row>
    <row r="89" spans="1:12" ht="15.75" x14ac:dyDescent="0.25">
      <c r="A89" s="88" t="s">
        <v>329</v>
      </c>
      <c r="B89" s="44">
        <v>24</v>
      </c>
      <c r="C89" s="88"/>
      <c r="D89" s="88"/>
      <c r="E89" s="88">
        <f>E90</f>
        <v>25.200000000000003</v>
      </c>
      <c r="F89" s="88">
        <f>E89*B89</f>
        <v>604.80000000000007</v>
      </c>
      <c r="G89" s="152" t="s">
        <v>330</v>
      </c>
      <c r="H89" s="157"/>
      <c r="I89" s="157"/>
      <c r="J89" s="40"/>
      <c r="K89" s="40"/>
      <c r="L89" s="40"/>
    </row>
    <row r="90" spans="1:12" ht="15.75" x14ac:dyDescent="0.25">
      <c r="A90" s="88" t="s">
        <v>345</v>
      </c>
      <c r="B90" s="44">
        <v>48</v>
      </c>
      <c r="C90" s="88"/>
      <c r="D90" s="88"/>
      <c r="E90" s="88">
        <f>F88*0.1</f>
        <v>25.200000000000003</v>
      </c>
      <c r="F90" s="88">
        <f>E90*B90</f>
        <v>1209.6000000000001</v>
      </c>
      <c r="G90" s="152" t="s">
        <v>346</v>
      </c>
      <c r="H90" s="157"/>
      <c r="I90" s="157"/>
      <c r="J90" s="40"/>
      <c r="K90" s="40"/>
      <c r="L90" s="40"/>
    </row>
    <row r="91" spans="1:12" ht="15.75" x14ac:dyDescent="0.25">
      <c r="A91" s="154"/>
      <c r="B91" s="154"/>
      <c r="C91" s="160"/>
      <c r="D91" s="157"/>
      <c r="E91" s="157"/>
      <c r="F91" s="157"/>
      <c r="G91" s="157"/>
      <c r="H91" s="157"/>
      <c r="I91" s="157"/>
      <c r="J91" s="40"/>
      <c r="K91" s="40"/>
      <c r="L91" s="40"/>
    </row>
    <row r="92" spans="1:12" ht="15.75" x14ac:dyDescent="0.25">
      <c r="A92" s="229" t="s">
        <v>257</v>
      </c>
      <c r="B92" s="230"/>
      <c r="C92" s="231"/>
      <c r="D92" s="40"/>
      <c r="E92" s="40"/>
      <c r="F92" s="40"/>
      <c r="G92" s="39"/>
      <c r="H92" s="39"/>
      <c r="I92" s="39"/>
      <c r="J92" s="39"/>
      <c r="K92" s="39"/>
      <c r="L92" s="40"/>
    </row>
    <row r="93" spans="1:12" ht="15.75" x14ac:dyDescent="0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40"/>
    </row>
    <row r="94" spans="1:12" ht="15.75" x14ac:dyDescent="0.25">
      <c r="A94" s="232" t="s">
        <v>7</v>
      </c>
      <c r="B94" s="86" t="s">
        <v>114</v>
      </c>
      <c r="C94" s="86" t="s">
        <v>115</v>
      </c>
      <c r="D94" s="86" t="s">
        <v>116</v>
      </c>
      <c r="E94" s="233" t="s">
        <v>117</v>
      </c>
      <c r="F94" s="235" t="s">
        <v>11</v>
      </c>
      <c r="G94" s="39"/>
      <c r="H94" s="39"/>
      <c r="I94" s="41"/>
      <c r="J94" s="40"/>
      <c r="K94" s="40"/>
      <c r="L94" s="40"/>
    </row>
    <row r="95" spans="1:12" ht="15.75" x14ac:dyDescent="0.25">
      <c r="A95" s="232"/>
      <c r="B95" s="87" t="s">
        <v>314</v>
      </c>
      <c r="C95" s="87" t="s">
        <v>314</v>
      </c>
      <c r="D95" s="87" t="s">
        <v>119</v>
      </c>
      <c r="E95" s="234"/>
      <c r="F95" s="236"/>
      <c r="G95" s="39"/>
      <c r="H95" s="39"/>
      <c r="I95" s="40"/>
      <c r="J95" s="40"/>
      <c r="K95" s="40"/>
      <c r="L95" s="40"/>
    </row>
    <row r="96" spans="1:12" ht="15.75" x14ac:dyDescent="0.25">
      <c r="A96" s="88" t="s">
        <v>334</v>
      </c>
      <c r="B96" s="44">
        <v>86</v>
      </c>
      <c r="C96" s="88"/>
      <c r="D96" s="88">
        <v>0.22</v>
      </c>
      <c r="E96" s="88"/>
      <c r="F96" s="88">
        <f>B96*D96</f>
        <v>18.920000000000002</v>
      </c>
      <c r="G96" s="39"/>
      <c r="H96" s="39"/>
      <c r="I96" s="40"/>
      <c r="J96" s="40"/>
      <c r="K96" s="40"/>
      <c r="L96" s="40"/>
    </row>
    <row r="97" spans="1:12" ht="15.75" x14ac:dyDescent="0.25">
      <c r="A97" s="88" t="s">
        <v>335</v>
      </c>
      <c r="B97" s="44">
        <v>86</v>
      </c>
      <c r="C97" s="88"/>
      <c r="D97" s="88">
        <v>0.22</v>
      </c>
      <c r="E97" s="88"/>
      <c r="F97" s="88">
        <f>B97*D97</f>
        <v>18.920000000000002</v>
      </c>
      <c r="G97" s="39"/>
      <c r="H97" s="39"/>
      <c r="I97" s="40"/>
      <c r="J97" s="40"/>
      <c r="K97" s="40"/>
      <c r="L97" s="40"/>
    </row>
    <row r="98" spans="1:12" ht="15.75" x14ac:dyDescent="0.25">
      <c r="A98" s="225" t="s">
        <v>320</v>
      </c>
      <c r="B98" s="44">
        <v>1.2</v>
      </c>
      <c r="C98" s="88"/>
      <c r="D98" s="88"/>
      <c r="E98" s="88">
        <v>900</v>
      </c>
      <c r="F98" s="88">
        <f>(E98*B98*0.395)</f>
        <v>426.6</v>
      </c>
      <c r="G98" s="221" t="s">
        <v>347</v>
      </c>
      <c r="H98" s="222"/>
      <c r="I98" s="40"/>
      <c r="J98" s="39"/>
      <c r="K98" s="39"/>
      <c r="L98" s="40"/>
    </row>
    <row r="99" spans="1:12" ht="15.75" x14ac:dyDescent="0.25">
      <c r="A99" s="227"/>
      <c r="B99" s="44"/>
      <c r="C99" s="88"/>
      <c r="D99" s="88"/>
      <c r="E99" s="88"/>
      <c r="F99" s="88">
        <f>E99*B99*0.395</f>
        <v>0</v>
      </c>
      <c r="G99" s="221"/>
      <c r="H99" s="222"/>
      <c r="I99" s="39"/>
      <c r="J99" s="39"/>
      <c r="K99" s="39"/>
      <c r="L99" s="40"/>
    </row>
    <row r="100" spans="1:12" ht="15.75" x14ac:dyDescent="0.25">
      <c r="A100" s="225" t="s">
        <v>348</v>
      </c>
      <c r="B100" s="44">
        <v>36</v>
      </c>
      <c r="C100" s="88"/>
      <c r="D100" s="88"/>
      <c r="E100" s="88">
        <v>36</v>
      </c>
      <c r="F100" s="88">
        <f>E100*B100*0.155-1.08</f>
        <v>199.79999999999998</v>
      </c>
      <c r="G100" s="221" t="s">
        <v>349</v>
      </c>
      <c r="H100" s="222"/>
      <c r="I100" s="39"/>
      <c r="J100" s="39"/>
      <c r="K100" s="39"/>
      <c r="L100" s="40"/>
    </row>
    <row r="101" spans="1:12" ht="15.75" x14ac:dyDescent="0.25">
      <c r="A101" s="227"/>
      <c r="B101" s="44"/>
      <c r="C101" s="88"/>
      <c r="D101" s="88"/>
      <c r="E101" s="88"/>
      <c r="F101" s="88"/>
      <c r="G101" s="221"/>
      <c r="H101" s="222"/>
      <c r="I101" s="39"/>
      <c r="J101" s="39"/>
      <c r="K101" s="39"/>
      <c r="L101" s="40"/>
    </row>
    <row r="102" spans="1:12" ht="15.75" x14ac:dyDescent="0.25">
      <c r="A102" s="85" t="s">
        <v>350</v>
      </c>
      <c r="B102" s="44">
        <v>7</v>
      </c>
      <c r="C102" s="88"/>
      <c r="D102" s="88"/>
      <c r="E102" s="88">
        <v>8</v>
      </c>
      <c r="F102" s="88">
        <f>(E102*B102*0.963*1.1)-0.03</f>
        <v>59.290799999999997</v>
      </c>
      <c r="G102" s="221" t="s">
        <v>325</v>
      </c>
      <c r="H102" s="222"/>
      <c r="I102" s="39"/>
      <c r="J102" s="39"/>
      <c r="K102" s="39"/>
      <c r="L102" s="40"/>
    </row>
    <row r="103" spans="1:12" ht="15.75" x14ac:dyDescent="0.25">
      <c r="A103" s="85" t="s">
        <v>351</v>
      </c>
      <c r="B103" s="44">
        <v>180</v>
      </c>
      <c r="C103" s="88"/>
      <c r="D103" s="88"/>
      <c r="E103" s="88"/>
      <c r="F103" s="88">
        <f>180*7.4/12</f>
        <v>111</v>
      </c>
      <c r="G103" s="221" t="s">
        <v>323</v>
      </c>
      <c r="H103" s="222"/>
      <c r="I103" s="39"/>
      <c r="J103" s="39"/>
      <c r="K103" s="39"/>
      <c r="L103" s="40"/>
    </row>
    <row r="104" spans="1:12" ht="15.75" x14ac:dyDescent="0.25">
      <c r="A104" s="88" t="s">
        <v>326</v>
      </c>
      <c r="B104" s="44">
        <v>36</v>
      </c>
      <c r="C104" s="88">
        <v>7</v>
      </c>
      <c r="D104" s="88">
        <v>0.18</v>
      </c>
      <c r="E104" s="88"/>
      <c r="F104" s="88">
        <f>B104*C104*D104</f>
        <v>45.36</v>
      </c>
      <c r="G104" s="154"/>
      <c r="H104" s="39"/>
      <c r="I104" s="39"/>
      <c r="J104" s="39"/>
      <c r="K104" s="39"/>
      <c r="L104" s="40"/>
    </row>
    <row r="105" spans="1:12" ht="15.75" x14ac:dyDescent="0.25">
      <c r="A105" s="88" t="s">
        <v>327</v>
      </c>
      <c r="B105" s="44"/>
      <c r="C105" s="88"/>
      <c r="D105" s="88"/>
      <c r="E105" s="88">
        <f>F104</f>
        <v>45.36</v>
      </c>
      <c r="F105" s="88">
        <f>E105*2.5</f>
        <v>113.4</v>
      </c>
      <c r="G105" s="221" t="s">
        <v>328</v>
      </c>
      <c r="H105" s="228"/>
      <c r="I105" s="39"/>
      <c r="J105" s="39"/>
      <c r="K105" s="39"/>
      <c r="L105" s="40"/>
    </row>
    <row r="106" spans="1:12" ht="15.75" x14ac:dyDescent="0.25">
      <c r="A106" s="88" t="s">
        <v>329</v>
      </c>
      <c r="B106" s="44">
        <v>24</v>
      </c>
      <c r="C106" s="88"/>
      <c r="D106" s="88"/>
      <c r="E106" s="88">
        <f>F105</f>
        <v>113.4</v>
      </c>
      <c r="F106" s="88">
        <f>E106*B106</f>
        <v>2721.6000000000004</v>
      </c>
      <c r="G106" s="152" t="s">
        <v>330</v>
      </c>
      <c r="H106" s="152"/>
      <c r="I106" s="39"/>
      <c r="J106" s="39"/>
      <c r="K106" s="39"/>
      <c r="L106" s="40"/>
    </row>
    <row r="107" spans="1:12" ht="15.75" x14ac:dyDescent="0.25">
      <c r="A107" s="88" t="s">
        <v>331</v>
      </c>
      <c r="B107" s="44">
        <v>48</v>
      </c>
      <c r="C107" s="88"/>
      <c r="D107" s="88"/>
      <c r="E107" s="88">
        <f>F105</f>
        <v>113.4</v>
      </c>
      <c r="F107" s="88">
        <f>E107*B107</f>
        <v>5443.2000000000007</v>
      </c>
      <c r="G107" s="152" t="s">
        <v>332</v>
      </c>
      <c r="H107" s="152"/>
      <c r="I107" s="39"/>
      <c r="J107" s="39"/>
      <c r="K107" s="39"/>
      <c r="L107" s="40"/>
    </row>
    <row r="108" spans="1:12" ht="15.75" x14ac:dyDescent="0.25">
      <c r="A108" s="157"/>
      <c r="B108" s="158"/>
      <c r="C108" s="157"/>
      <c r="D108" s="157"/>
      <c r="E108" s="157"/>
      <c r="F108" s="157"/>
      <c r="G108" s="152"/>
      <c r="H108" s="152"/>
      <c r="I108" s="39"/>
      <c r="J108" s="39"/>
      <c r="K108" s="39"/>
      <c r="L108" s="40"/>
    </row>
    <row r="109" spans="1:12" ht="15.75" x14ac:dyDescent="0.25">
      <c r="A109" s="229" t="s">
        <v>184</v>
      </c>
      <c r="B109" s="230"/>
      <c r="C109" s="231"/>
      <c r="D109" s="40"/>
      <c r="E109" s="40"/>
      <c r="F109" s="40"/>
      <c r="G109" s="39"/>
      <c r="H109" s="39"/>
      <c r="I109" s="39"/>
      <c r="J109" s="39"/>
      <c r="K109" s="39"/>
      <c r="L109" s="40"/>
    </row>
    <row r="110" spans="1:12" ht="15.75" x14ac:dyDescent="0.25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40"/>
    </row>
    <row r="111" spans="1:12" ht="15.75" x14ac:dyDescent="0.25">
      <c r="A111" s="232" t="s">
        <v>7</v>
      </c>
      <c r="B111" s="86" t="s">
        <v>114</v>
      </c>
      <c r="C111" s="86" t="s">
        <v>115</v>
      </c>
      <c r="D111" s="86" t="s">
        <v>116</v>
      </c>
      <c r="E111" s="233" t="s">
        <v>117</v>
      </c>
      <c r="F111" s="235" t="s">
        <v>11</v>
      </c>
      <c r="G111" s="39"/>
      <c r="H111" s="39"/>
      <c r="I111" s="39"/>
      <c r="J111" s="39"/>
      <c r="K111" s="39"/>
      <c r="L111" s="40"/>
    </row>
    <row r="112" spans="1:12" ht="15.75" x14ac:dyDescent="0.25">
      <c r="A112" s="232"/>
      <c r="B112" s="87" t="s">
        <v>314</v>
      </c>
      <c r="C112" s="87" t="s">
        <v>314</v>
      </c>
      <c r="D112" s="87" t="s">
        <v>119</v>
      </c>
      <c r="E112" s="234"/>
      <c r="F112" s="236"/>
      <c r="G112" s="39"/>
      <c r="H112" s="39"/>
      <c r="I112" s="39"/>
      <c r="J112" s="39"/>
      <c r="K112" s="39"/>
      <c r="L112" s="40"/>
    </row>
    <row r="113" spans="1:12" ht="15.75" x14ac:dyDescent="0.25">
      <c r="A113" s="88" t="s">
        <v>334</v>
      </c>
      <c r="B113" s="44">
        <v>22</v>
      </c>
      <c r="C113" s="88"/>
      <c r="D113" s="88">
        <v>0.7</v>
      </c>
      <c r="E113" s="88">
        <v>4</v>
      </c>
      <c r="F113" s="88">
        <f>B113*D113*E113</f>
        <v>61.599999999999994</v>
      </c>
      <c r="G113" s="39"/>
      <c r="H113" s="39"/>
      <c r="I113" s="39"/>
      <c r="J113" s="39"/>
      <c r="K113" s="39"/>
      <c r="L113" s="40"/>
    </row>
    <row r="114" spans="1:12" ht="15.75" x14ac:dyDescent="0.25">
      <c r="A114" s="88" t="s">
        <v>335</v>
      </c>
      <c r="B114" s="44">
        <v>22</v>
      </c>
      <c r="C114" s="88"/>
      <c r="D114" s="88">
        <v>0.7</v>
      </c>
      <c r="E114" s="88">
        <v>4</v>
      </c>
      <c r="F114" s="88">
        <f>B114*D114*E114</f>
        <v>61.599999999999994</v>
      </c>
      <c r="G114" s="39"/>
      <c r="H114" s="39"/>
      <c r="I114" s="39"/>
      <c r="J114" s="39"/>
      <c r="K114" s="39"/>
      <c r="L114" s="40"/>
    </row>
    <row r="115" spans="1:12" ht="15.75" x14ac:dyDescent="0.25">
      <c r="A115" s="225" t="s">
        <v>352</v>
      </c>
      <c r="B115" s="44">
        <v>6.25</v>
      </c>
      <c r="C115" s="88"/>
      <c r="D115" s="88"/>
      <c r="E115" s="88">
        <v>8</v>
      </c>
      <c r="F115" s="88">
        <f>(E115*B115*0.395)</f>
        <v>19.75</v>
      </c>
      <c r="G115" s="39"/>
      <c r="H115" s="39"/>
      <c r="I115" s="39"/>
      <c r="J115" s="39"/>
      <c r="K115" s="39"/>
      <c r="L115" s="40"/>
    </row>
    <row r="116" spans="1:12" ht="15.75" x14ac:dyDescent="0.25">
      <c r="A116" s="226"/>
      <c r="B116" s="44">
        <v>12.5</v>
      </c>
      <c r="C116" s="88"/>
      <c r="D116" s="88"/>
      <c r="E116" s="88">
        <v>16</v>
      </c>
      <c r="F116" s="88">
        <f>(E116*B116*0.395)</f>
        <v>79</v>
      </c>
      <c r="G116" s="39"/>
      <c r="H116" s="39"/>
      <c r="I116" s="39"/>
      <c r="J116" s="39"/>
      <c r="K116" s="39"/>
      <c r="L116" s="40"/>
    </row>
    <row r="117" spans="1:12" ht="15.75" x14ac:dyDescent="0.25">
      <c r="A117" s="227"/>
      <c r="B117" s="44">
        <v>1</v>
      </c>
      <c r="C117" s="88"/>
      <c r="D117" s="88"/>
      <c r="E117" s="88">
        <v>300</v>
      </c>
      <c r="F117" s="88">
        <f>(E117*B117*0.395)</f>
        <v>118.5</v>
      </c>
      <c r="G117" s="221" t="s">
        <v>321</v>
      </c>
      <c r="H117" s="222"/>
      <c r="I117" s="39"/>
      <c r="J117" s="39"/>
      <c r="K117" s="39"/>
      <c r="L117" s="40"/>
    </row>
    <row r="118" spans="1:12" ht="15.75" x14ac:dyDescent="0.25">
      <c r="A118" s="225" t="s">
        <v>326</v>
      </c>
      <c r="B118" s="44">
        <v>15</v>
      </c>
      <c r="C118" s="88">
        <v>0.3</v>
      </c>
      <c r="D118" s="88">
        <v>0.7</v>
      </c>
      <c r="E118" s="88">
        <v>2</v>
      </c>
      <c r="F118" s="88">
        <f>B118*C118*D118*E118</f>
        <v>6.3</v>
      </c>
      <c r="G118" s="154"/>
      <c r="H118" s="39"/>
      <c r="I118" s="39"/>
      <c r="J118" s="39"/>
      <c r="K118" s="39"/>
      <c r="L118" s="40"/>
    </row>
    <row r="119" spans="1:12" ht="15.75" x14ac:dyDescent="0.25">
      <c r="A119" s="227"/>
      <c r="B119" s="44">
        <v>7</v>
      </c>
      <c r="C119" s="88">
        <v>0.7</v>
      </c>
      <c r="D119" s="88">
        <v>0.7</v>
      </c>
      <c r="E119" s="88">
        <v>2</v>
      </c>
      <c r="F119" s="88">
        <f>B119*C119*D119*E119</f>
        <v>6.8599999999999985</v>
      </c>
      <c r="G119" s="154"/>
      <c r="H119" s="39"/>
      <c r="I119" s="39"/>
      <c r="J119" s="39"/>
      <c r="K119" s="39"/>
      <c r="L119" s="40"/>
    </row>
    <row r="120" spans="1:12" ht="15.75" x14ac:dyDescent="0.25">
      <c r="A120" s="88" t="s">
        <v>327</v>
      </c>
      <c r="B120" s="44"/>
      <c r="C120" s="88"/>
      <c r="D120" s="88"/>
      <c r="E120" s="88">
        <f>F118+F119</f>
        <v>13.159999999999998</v>
      </c>
      <c r="F120" s="88">
        <f>E120*2.5</f>
        <v>32.9</v>
      </c>
      <c r="G120" s="221" t="s">
        <v>328</v>
      </c>
      <c r="H120" s="228"/>
      <c r="I120" s="39"/>
      <c r="J120" s="39"/>
      <c r="K120" s="39"/>
      <c r="L120" s="40"/>
    </row>
    <row r="121" spans="1:12" ht="15.75" x14ac:dyDescent="0.25">
      <c r="A121" s="88" t="s">
        <v>329</v>
      </c>
      <c r="B121" s="44">
        <v>24</v>
      </c>
      <c r="C121" s="88"/>
      <c r="D121" s="88"/>
      <c r="E121" s="88">
        <f>F120</f>
        <v>32.9</v>
      </c>
      <c r="F121" s="88">
        <f>E121*B121</f>
        <v>789.59999999999991</v>
      </c>
      <c r="G121" s="152" t="s">
        <v>330</v>
      </c>
      <c r="H121" s="152"/>
      <c r="I121" s="39"/>
      <c r="J121" s="39"/>
      <c r="K121" s="39"/>
      <c r="L121" s="40"/>
    </row>
    <row r="122" spans="1:12" ht="15.75" x14ac:dyDescent="0.25">
      <c r="A122" s="88" t="s">
        <v>331</v>
      </c>
      <c r="B122" s="44">
        <v>48</v>
      </c>
      <c r="C122" s="88"/>
      <c r="D122" s="88"/>
      <c r="E122" s="88">
        <f>F120</f>
        <v>32.9</v>
      </c>
      <c r="F122" s="88">
        <f>E122*B122</f>
        <v>1579.1999999999998</v>
      </c>
      <c r="G122" s="152" t="s">
        <v>332</v>
      </c>
      <c r="H122" s="152"/>
      <c r="I122" s="39"/>
      <c r="J122" s="39"/>
      <c r="K122" s="39"/>
      <c r="L122" s="40"/>
    </row>
    <row r="123" spans="1:12" ht="15.75" x14ac:dyDescent="0.25">
      <c r="A123" s="157"/>
      <c r="B123" s="158"/>
      <c r="C123" s="157"/>
      <c r="D123" s="157"/>
      <c r="E123" s="157"/>
      <c r="F123" s="157"/>
      <c r="G123" s="152"/>
      <c r="H123" s="152"/>
      <c r="I123" s="39"/>
      <c r="J123" s="39"/>
      <c r="K123" s="39"/>
      <c r="L123" s="40"/>
    </row>
    <row r="124" spans="1:12" ht="15.75" x14ac:dyDescent="0.25">
      <c r="A124" s="229" t="s">
        <v>353</v>
      </c>
      <c r="B124" s="230"/>
      <c r="C124" s="231"/>
      <c r="D124" s="40"/>
      <c r="E124" s="40"/>
      <c r="F124" s="40"/>
      <c r="G124" s="39"/>
      <c r="H124" s="39"/>
      <c r="I124" s="39"/>
      <c r="J124" s="39"/>
      <c r="K124" s="39"/>
      <c r="L124" s="40"/>
    </row>
    <row r="125" spans="1:12" ht="15.75" x14ac:dyDescent="0.25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40"/>
    </row>
    <row r="126" spans="1:12" ht="15.75" x14ac:dyDescent="0.25">
      <c r="A126" s="232" t="s">
        <v>7</v>
      </c>
      <c r="B126" s="86" t="s">
        <v>114</v>
      </c>
      <c r="C126" s="86" t="s">
        <v>115</v>
      </c>
      <c r="D126" s="86" t="s">
        <v>116</v>
      </c>
      <c r="E126" s="233" t="s">
        <v>117</v>
      </c>
      <c r="F126" s="235" t="s">
        <v>11</v>
      </c>
      <c r="G126" s="39"/>
      <c r="H126" s="39"/>
      <c r="I126" s="39"/>
      <c r="J126" s="39"/>
      <c r="K126" s="39"/>
      <c r="L126" s="40"/>
    </row>
    <row r="127" spans="1:12" ht="15.75" x14ac:dyDescent="0.25">
      <c r="A127" s="232"/>
      <c r="B127" s="87" t="s">
        <v>314</v>
      </c>
      <c r="C127" s="87" t="s">
        <v>314</v>
      </c>
      <c r="D127" s="87" t="s">
        <v>119</v>
      </c>
      <c r="E127" s="234"/>
      <c r="F127" s="236"/>
      <c r="G127" s="39"/>
      <c r="H127" s="39"/>
      <c r="I127" s="39"/>
      <c r="J127" s="39"/>
      <c r="K127" s="39"/>
      <c r="L127" s="40"/>
    </row>
    <row r="128" spans="1:12" ht="15.75" x14ac:dyDescent="0.25">
      <c r="A128" s="88" t="s">
        <v>354</v>
      </c>
      <c r="B128" s="44">
        <v>36</v>
      </c>
      <c r="C128" s="88"/>
      <c r="D128" s="88"/>
      <c r="E128" s="88">
        <v>2</v>
      </c>
      <c r="F128" s="88">
        <f>B128*E128</f>
        <v>72</v>
      </c>
      <c r="G128" s="39"/>
      <c r="H128" s="39"/>
      <c r="I128" s="39"/>
      <c r="J128" s="39"/>
      <c r="K128" s="39"/>
      <c r="L128" s="40"/>
    </row>
    <row r="129" spans="1:12" ht="15.75" x14ac:dyDescent="0.25">
      <c r="A129" s="88" t="s">
        <v>355</v>
      </c>
      <c r="B129" s="44">
        <v>36</v>
      </c>
      <c r="C129" s="88"/>
      <c r="D129" s="88"/>
      <c r="E129" s="88">
        <v>2</v>
      </c>
      <c r="F129" s="88">
        <f>B129*E129</f>
        <v>72</v>
      </c>
      <c r="G129" s="39"/>
      <c r="H129" s="39"/>
      <c r="I129" s="39"/>
      <c r="J129" s="39"/>
      <c r="K129" s="39"/>
      <c r="L129" s="40"/>
    </row>
    <row r="130" spans="1:12" ht="15.75" x14ac:dyDescent="0.25">
      <c r="A130" s="84" t="s">
        <v>356</v>
      </c>
      <c r="B130" s="44">
        <v>44</v>
      </c>
      <c r="C130" s="88"/>
      <c r="D130" s="88">
        <v>0.7</v>
      </c>
      <c r="E130" s="88">
        <v>2</v>
      </c>
      <c r="F130" s="88">
        <f>(E130*B130*D130)</f>
        <v>61.599999999999994</v>
      </c>
      <c r="G130" s="221"/>
      <c r="H130" s="222"/>
      <c r="I130" s="39"/>
      <c r="J130" s="39"/>
      <c r="K130" s="39"/>
      <c r="L130" s="40"/>
    </row>
    <row r="131" spans="1:12" ht="15.75" x14ac:dyDescent="0.25">
      <c r="A131" s="88" t="s">
        <v>357</v>
      </c>
      <c r="B131" s="44">
        <v>36</v>
      </c>
      <c r="C131" s="88">
        <v>7</v>
      </c>
      <c r="D131" s="88"/>
      <c r="E131" s="88">
        <v>1</v>
      </c>
      <c r="F131" s="88">
        <f>E131*B131*C131</f>
        <v>252</v>
      </c>
      <c r="G131" s="221"/>
      <c r="H131" s="222"/>
      <c r="I131" s="39"/>
      <c r="J131" s="39"/>
      <c r="K131" s="39"/>
      <c r="L131" s="40"/>
    </row>
    <row r="132" spans="1:12" ht="15.75" x14ac:dyDescent="0.25">
      <c r="A132" s="157"/>
      <c r="B132" s="158"/>
      <c r="C132" s="157"/>
      <c r="D132" s="157"/>
      <c r="E132" s="157"/>
      <c r="F132" s="157"/>
      <c r="G132" s="152"/>
      <c r="H132" s="153"/>
      <c r="I132" s="39"/>
      <c r="J132" s="39"/>
      <c r="K132" s="39"/>
      <c r="L132" s="40"/>
    </row>
    <row r="133" spans="1:12" ht="15.75" x14ac:dyDescent="0.25">
      <c r="A133" s="157"/>
      <c r="B133" s="158"/>
      <c r="C133" s="157"/>
      <c r="D133" s="157"/>
      <c r="E133" s="157"/>
      <c r="F133" s="157"/>
      <c r="G133" s="152"/>
      <c r="H133" s="153"/>
      <c r="I133" s="39"/>
      <c r="J133" s="39"/>
      <c r="K133" s="39"/>
      <c r="L133" s="40"/>
    </row>
    <row r="134" spans="1:12" ht="15.75" x14ac:dyDescent="0.25">
      <c r="A134" s="38"/>
      <c r="B134" s="38"/>
      <c r="C134" s="39"/>
      <c r="D134" s="39"/>
      <c r="E134" s="39"/>
      <c r="F134" s="39"/>
      <c r="G134" s="39"/>
      <c r="H134" s="223" t="s">
        <v>358</v>
      </c>
      <c r="I134" s="223"/>
      <c r="J134" s="223"/>
      <c r="K134" s="39"/>
      <c r="L134" s="40"/>
    </row>
    <row r="135" spans="1:12" ht="15.75" x14ac:dyDescent="0.25">
      <c r="A135" s="161"/>
      <c r="B135" s="161"/>
      <c r="C135" s="39"/>
      <c r="D135" s="39"/>
      <c r="E135" s="39"/>
      <c r="F135" s="39"/>
      <c r="G135" s="39"/>
      <c r="H135" s="39"/>
      <c r="I135" s="39"/>
      <c r="J135" s="39"/>
      <c r="K135" s="39"/>
      <c r="L135" s="40"/>
    </row>
    <row r="136" spans="1:12" ht="15.75" x14ac:dyDescent="0.25">
      <c r="A136" s="161"/>
      <c r="B136" s="161"/>
      <c r="C136" s="39"/>
      <c r="D136" s="39"/>
      <c r="E136" s="39"/>
      <c r="F136" s="39"/>
      <c r="G136" s="39"/>
      <c r="H136" s="39"/>
      <c r="I136" s="39"/>
      <c r="J136" s="39"/>
      <c r="K136" s="39"/>
      <c r="L136" s="40"/>
    </row>
    <row r="137" spans="1:12" ht="15.75" x14ac:dyDescent="0.25">
      <c r="A137" s="161"/>
      <c r="B137" s="161"/>
      <c r="C137" s="39"/>
      <c r="D137" s="39"/>
      <c r="E137" s="39"/>
      <c r="F137" s="39"/>
      <c r="G137" s="39"/>
      <c r="H137" s="39"/>
      <c r="I137" s="39"/>
      <c r="J137" s="39"/>
      <c r="K137" s="39"/>
      <c r="L137" s="40"/>
    </row>
    <row r="138" spans="1:12" ht="15.75" x14ac:dyDescent="0.25">
      <c r="A138" s="161"/>
      <c r="B138" s="161"/>
      <c r="C138" s="39"/>
      <c r="D138" s="39"/>
      <c r="E138" s="39"/>
      <c r="F138" s="39"/>
      <c r="G138" s="39"/>
      <c r="H138" s="39"/>
      <c r="I138" s="39"/>
      <c r="J138" s="39"/>
      <c r="K138" s="39"/>
      <c r="L138" s="40"/>
    </row>
    <row r="139" spans="1:12" ht="15.75" x14ac:dyDescent="0.25">
      <c r="A139" s="161"/>
      <c r="B139" s="161"/>
      <c r="C139" s="39"/>
      <c r="D139" s="39"/>
      <c r="E139" s="39"/>
      <c r="F139" s="39"/>
      <c r="G139" s="39"/>
      <c r="H139" s="39"/>
      <c r="I139" s="39"/>
      <c r="J139" s="39"/>
      <c r="K139" s="39"/>
      <c r="L139" s="40"/>
    </row>
    <row r="140" spans="1:12" ht="15.75" x14ac:dyDescent="0.25">
      <c r="A140" s="161"/>
      <c r="B140" s="161"/>
      <c r="C140" s="39"/>
      <c r="D140" s="39"/>
      <c r="E140" s="39"/>
      <c r="F140" s="39"/>
      <c r="G140" s="39"/>
      <c r="H140" s="39"/>
      <c r="I140" s="39"/>
      <c r="J140" s="39"/>
      <c r="K140" s="39"/>
      <c r="L140" s="40"/>
    </row>
    <row r="141" spans="1:12" ht="15.75" x14ac:dyDescent="0.25">
      <c r="A141" s="162"/>
      <c r="B141" s="162"/>
      <c r="C141" s="39"/>
      <c r="D141" s="39"/>
      <c r="E141" s="39"/>
      <c r="F141" s="39"/>
      <c r="G141" s="39"/>
      <c r="H141" s="39"/>
      <c r="I141" s="39"/>
      <c r="J141" s="39"/>
      <c r="K141" s="39"/>
      <c r="L141" s="40"/>
    </row>
    <row r="142" spans="1:12" ht="15.75" x14ac:dyDescent="0.25">
      <c r="A142" s="162"/>
      <c r="B142" s="162"/>
      <c r="C142" s="39"/>
      <c r="D142" s="39"/>
      <c r="E142" s="39"/>
      <c r="F142" s="39"/>
      <c r="G142" s="39"/>
      <c r="H142" s="39"/>
      <c r="I142" s="39"/>
      <c r="J142" s="39"/>
      <c r="K142" s="39"/>
      <c r="L142" s="40"/>
    </row>
    <row r="143" spans="1:12" ht="15.75" x14ac:dyDescent="0.25">
      <c r="A143" s="163"/>
      <c r="B143" s="163"/>
      <c r="C143" s="39"/>
      <c r="D143" s="39"/>
      <c r="E143" s="39"/>
      <c r="F143" s="39"/>
      <c r="G143" s="39"/>
      <c r="H143" s="39"/>
      <c r="I143" s="224" t="s">
        <v>125</v>
      </c>
      <c r="J143" s="224"/>
      <c r="K143" s="39"/>
      <c r="L143" s="40"/>
    </row>
    <row r="144" spans="1:12" ht="15.75" x14ac:dyDescent="0.25">
      <c r="A144" s="38"/>
      <c r="B144" s="38"/>
      <c r="C144" s="39"/>
      <c r="D144" s="39"/>
      <c r="E144" s="39"/>
      <c r="F144" s="39"/>
      <c r="G144" s="39"/>
      <c r="H144" s="39"/>
      <c r="I144" s="224" t="s">
        <v>126</v>
      </c>
      <c r="J144" s="224"/>
      <c r="K144" s="39"/>
      <c r="L144" s="40"/>
    </row>
    <row r="145" spans="1:12" ht="15.75" x14ac:dyDescent="0.25">
      <c r="A145" s="38"/>
      <c r="B145" s="38"/>
      <c r="C145" s="39"/>
      <c r="D145" s="39"/>
      <c r="E145" s="39"/>
      <c r="F145" s="39"/>
      <c r="G145" s="39"/>
      <c r="H145" s="39"/>
      <c r="I145" s="224" t="s">
        <v>127</v>
      </c>
      <c r="J145" s="224"/>
      <c r="K145" s="39"/>
      <c r="L145" s="40"/>
    </row>
    <row r="146" spans="1:12" ht="15.75" x14ac:dyDescent="0.25">
      <c r="A146" s="38"/>
      <c r="B146" s="38"/>
      <c r="C146" s="39"/>
      <c r="D146" s="39"/>
      <c r="E146" s="39"/>
      <c r="F146" s="39"/>
      <c r="G146" s="39"/>
      <c r="H146" s="39"/>
      <c r="I146" s="39"/>
      <c r="J146" s="39"/>
      <c r="K146" s="39"/>
      <c r="L146" s="40"/>
    </row>
  </sheetData>
  <mergeCells count="80">
    <mergeCell ref="G18:H18"/>
    <mergeCell ref="A2:L2"/>
    <mergeCell ref="A4:C4"/>
    <mergeCell ref="A6:C6"/>
    <mergeCell ref="A8:A9"/>
    <mergeCell ref="E8:E9"/>
    <mergeCell ref="F8:F9"/>
    <mergeCell ref="A13:A14"/>
    <mergeCell ref="G14:H14"/>
    <mergeCell ref="A15:A16"/>
    <mergeCell ref="G16:H16"/>
    <mergeCell ref="G17:H17"/>
    <mergeCell ref="A19:A20"/>
    <mergeCell ref="G21:H21"/>
    <mergeCell ref="A25:C25"/>
    <mergeCell ref="A27:C27"/>
    <mergeCell ref="A29:A30"/>
    <mergeCell ref="E29:E30"/>
    <mergeCell ref="F29:F30"/>
    <mergeCell ref="G33:H33"/>
    <mergeCell ref="G34:H34"/>
    <mergeCell ref="G36:H36"/>
    <mergeCell ref="A41:C41"/>
    <mergeCell ref="A43:A44"/>
    <mergeCell ref="E43:E44"/>
    <mergeCell ref="F43:F44"/>
    <mergeCell ref="G68:H68"/>
    <mergeCell ref="A45:A48"/>
    <mergeCell ref="A50:A51"/>
    <mergeCell ref="G50:H50"/>
    <mergeCell ref="G52:H52"/>
    <mergeCell ref="G53:H53"/>
    <mergeCell ref="G56:H56"/>
    <mergeCell ref="A61:C61"/>
    <mergeCell ref="A63:A64"/>
    <mergeCell ref="E63:E64"/>
    <mergeCell ref="F63:F64"/>
    <mergeCell ref="G67:H67"/>
    <mergeCell ref="A94:A95"/>
    <mergeCell ref="E94:E95"/>
    <mergeCell ref="F94:F95"/>
    <mergeCell ref="G69:H69"/>
    <mergeCell ref="G71:H71"/>
    <mergeCell ref="A76:C76"/>
    <mergeCell ref="A78:C78"/>
    <mergeCell ref="A80:A81"/>
    <mergeCell ref="E80:E81"/>
    <mergeCell ref="F80:F81"/>
    <mergeCell ref="A84:C84"/>
    <mergeCell ref="A86:A87"/>
    <mergeCell ref="E86:E87"/>
    <mergeCell ref="F86:F87"/>
    <mergeCell ref="A92:C92"/>
    <mergeCell ref="A98:A99"/>
    <mergeCell ref="G98:H98"/>
    <mergeCell ref="G99:H99"/>
    <mergeCell ref="A100:A101"/>
    <mergeCell ref="G100:H100"/>
    <mergeCell ref="G101:H101"/>
    <mergeCell ref="G102:H102"/>
    <mergeCell ref="G103:H103"/>
    <mergeCell ref="G105:H105"/>
    <mergeCell ref="A109:C109"/>
    <mergeCell ref="A111:A112"/>
    <mergeCell ref="E111:E112"/>
    <mergeCell ref="F111:F112"/>
    <mergeCell ref="I145:J145"/>
    <mergeCell ref="A115:A117"/>
    <mergeCell ref="G117:H117"/>
    <mergeCell ref="A118:A119"/>
    <mergeCell ref="G120:H120"/>
    <mergeCell ref="A124:C124"/>
    <mergeCell ref="A126:A127"/>
    <mergeCell ref="E126:E127"/>
    <mergeCell ref="F126:F127"/>
    <mergeCell ref="G130:H130"/>
    <mergeCell ref="G131:H131"/>
    <mergeCell ref="H134:J134"/>
    <mergeCell ref="I143:J143"/>
    <mergeCell ref="I144:J14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ORÇAMENTO</vt:lpstr>
      <vt:lpstr>CRONOGRAMA</vt:lpstr>
      <vt:lpstr>DMT</vt:lpstr>
      <vt:lpstr>BDI</vt:lpstr>
      <vt:lpstr>COMP. 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cp:lastPrinted>2026-07-24T14:44:56Z</cp:lastPrinted>
  <dcterms:created xsi:type="dcterms:W3CDTF">2024-04-05T20:18:58Z</dcterms:created>
  <dcterms:modified xsi:type="dcterms:W3CDTF">2026-07-24T14:44:58Z</dcterms:modified>
</cp:coreProperties>
</file>